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5" windowWidth="8685" windowHeight="78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'List1'!$A:$A,'List1'!$1:$3</definedName>
  </definedNames>
  <calcPr fullCalcOnLoad="1"/>
</workbook>
</file>

<file path=xl/sharedStrings.xml><?xml version="1.0" encoding="utf-8"?>
<sst xmlns="http://schemas.openxmlformats.org/spreadsheetml/2006/main" count="797" uniqueCount="715">
  <si>
    <t>V Ý D A J E</t>
  </si>
  <si>
    <t>UR stát, HMP</t>
  </si>
  <si>
    <t>2141 úroky</t>
  </si>
  <si>
    <t>2460 splátky půjček SFZ</t>
  </si>
  <si>
    <t>1341-5,7,51 místní poplatky</t>
  </si>
  <si>
    <t>1361 správní poplatky</t>
  </si>
  <si>
    <t>1511 daň z nemovitostí</t>
  </si>
  <si>
    <t>4131 z účtu ekon.činnosti</t>
  </si>
  <si>
    <t>3636 územní rozvoj</t>
  </si>
  <si>
    <t>3639 komun.služby</t>
  </si>
  <si>
    <t>3421 dětská hřiště</t>
  </si>
  <si>
    <t>3745 veřejná zeleň</t>
  </si>
  <si>
    <t>2212 silnice</t>
  </si>
  <si>
    <t>3111 mat.škola</t>
  </si>
  <si>
    <t>3113 zákl.škola</t>
  </si>
  <si>
    <t>3141 škol.jídelna</t>
  </si>
  <si>
    <t>4351/1,2 domy s peč.sl</t>
  </si>
  <si>
    <t>4351/4 přísp.stravné</t>
  </si>
  <si>
    <t>4351 peč.služba</t>
  </si>
  <si>
    <t>4329 péče o mládež</t>
  </si>
  <si>
    <t>4359 ost.soc</t>
  </si>
  <si>
    <t>4379 péče o seniory</t>
  </si>
  <si>
    <t>3314 knihovna</t>
  </si>
  <si>
    <t>3319 kult.střed</t>
  </si>
  <si>
    <t>3319 kronika,letopis</t>
  </si>
  <si>
    <t>3319 kult.akce</t>
  </si>
  <si>
    <t>5512 dobrov.hasiči</t>
  </si>
  <si>
    <t>08      HOSPODÁŘSTVÍ</t>
  </si>
  <si>
    <t>6112 ZMČ</t>
  </si>
  <si>
    <t>kulturní akce</t>
  </si>
  <si>
    <t>různé organizační</t>
  </si>
  <si>
    <t>MČ CELKEM</t>
  </si>
  <si>
    <t xml:space="preserve">    soc. služby</t>
  </si>
  <si>
    <t xml:space="preserve">   výkon agendy SPOD</t>
  </si>
  <si>
    <t xml:space="preserve">      Povodňový fond MČ</t>
  </si>
  <si>
    <t>07    B E Z P E Č N O S T</t>
  </si>
  <si>
    <t>06    KULTURA  A  SPORT</t>
  </si>
  <si>
    <t>04   Š K O L S T V Í</t>
  </si>
  <si>
    <t>05    SOC. A  ZDRAV.</t>
  </si>
  <si>
    <t>02   INFRASTRUKTURA</t>
  </si>
  <si>
    <t>03   D O P R A V A</t>
  </si>
  <si>
    <t xml:space="preserve"> rozdíl příjmů a výdajů:</t>
  </si>
  <si>
    <t>09    VNITŘNÍ  SPRÁVA</t>
  </si>
  <si>
    <t>2322 poj.plnění</t>
  </si>
  <si>
    <t>2329 nahodilé</t>
  </si>
  <si>
    <t>3539 zdrav zařízení zateplení</t>
  </si>
  <si>
    <t>2219 ost.zál.komun</t>
  </si>
  <si>
    <t>3313 kino</t>
  </si>
  <si>
    <t>3722 Sběrný dvůr</t>
  </si>
  <si>
    <t>3744 protipovodňová ochrana</t>
  </si>
  <si>
    <t>2339 Mostky</t>
  </si>
  <si>
    <t>2212 sankce</t>
  </si>
  <si>
    <t>Biotop</t>
  </si>
  <si>
    <t xml:space="preserve">dary 2321 neinv 3121 </t>
  </si>
  <si>
    <t>01  ÚZEMNÍ   ROZVOJ</t>
  </si>
  <si>
    <t>6171 úřad provoz</t>
  </si>
  <si>
    <t>3111 mat.škola objekty</t>
  </si>
  <si>
    <t>3113 zákl.škola objekty</t>
  </si>
  <si>
    <t>3632 pohřebnictví</t>
  </si>
  <si>
    <t>3639 techn.sl</t>
  </si>
  <si>
    <r>
      <t xml:space="preserve">3421 sport.hřiště </t>
    </r>
  </si>
  <si>
    <t xml:space="preserve"> P Ř Í J M Y</t>
  </si>
  <si>
    <t>Účelové prostředky CELKEM</t>
  </si>
  <si>
    <t xml:space="preserve"> Výdaje celkem:</t>
  </si>
  <si>
    <t>Příjmy celkem:</t>
  </si>
  <si>
    <t>z rozpočtu HMP:</t>
  </si>
  <si>
    <t>ze státního rozpočtu:</t>
  </si>
  <si>
    <t>05/ 4351 pečovatelská služba</t>
  </si>
  <si>
    <t>04/ výnos loterií</t>
  </si>
  <si>
    <t>04/ sport</t>
  </si>
  <si>
    <t>04/ 3113 ZŠ Program prim.prevence</t>
  </si>
  <si>
    <t>05/ účel.dotace HMP</t>
  </si>
  <si>
    <t>04/ účel.dotace HMP</t>
  </si>
  <si>
    <t>02/ účelová inv.dotace HMP</t>
  </si>
  <si>
    <t>05/ účel.dotace stát</t>
  </si>
  <si>
    <t>2310 voda 2321 odp. voda 3722 odpady</t>
  </si>
  <si>
    <t>3723 svoz odpadů Podz.kontejn (vč FŽP+EU dotace)</t>
  </si>
  <si>
    <t>3716 měř koncentr.ovzduší</t>
  </si>
  <si>
    <t>3412 hřiště +SH+Biotop + sport.rekr.areál</t>
  </si>
  <si>
    <t>4339 Pěstounská péče (784 +160)</t>
  </si>
  <si>
    <t>popl. dobývaný prostor</t>
  </si>
  <si>
    <t>04/ Základní škola nást</t>
  </si>
  <si>
    <t>05/ účel.dotace stát OPŽP</t>
  </si>
  <si>
    <t>09/6171 správa ZOZ</t>
  </si>
  <si>
    <t>09/ účel.dotace HMP</t>
  </si>
  <si>
    <t>05/ účel.dotace stát MPSV</t>
  </si>
  <si>
    <t>06/ kult.středisko akce Král.prův</t>
  </si>
  <si>
    <t>06/ účel.dotace HMP</t>
  </si>
  <si>
    <t>06/ 3313 Kino zatepl dopl</t>
  </si>
  <si>
    <t>03/ 2212 ponecháno z roku 2015</t>
  </si>
  <si>
    <t>07/ 5512 ponecháno z roku 2015</t>
  </si>
  <si>
    <t>09/ účel.dotace stát MPSV</t>
  </si>
  <si>
    <t>07/ 5512 JSDH provoz</t>
  </si>
  <si>
    <t>07/ účel.dotace HMP</t>
  </si>
  <si>
    <t>05/ péče o seniory</t>
  </si>
  <si>
    <t>05/ výnos loterií</t>
  </si>
  <si>
    <t>FV 2015</t>
  </si>
  <si>
    <t>investice</t>
  </si>
  <si>
    <t>06/ kultura</t>
  </si>
  <si>
    <t>02/ 3745 MuŘ nedočerp.dot 2015</t>
  </si>
  <si>
    <t>06/ knihovna knižní fond</t>
  </si>
  <si>
    <t>02/ 3745 habrový živý plot</t>
  </si>
  <si>
    <t>04/ 3111 MŠ posílení mezd</t>
  </si>
  <si>
    <t>04/ MHMP Pól růstu</t>
  </si>
  <si>
    <t>02/ účel.dotace HMP</t>
  </si>
  <si>
    <t>03/ účel.dotace HMP</t>
  </si>
  <si>
    <t>04/ MŠMT MAP</t>
  </si>
  <si>
    <t>07/ MV</t>
  </si>
  <si>
    <t>3612 bytové hosp. 3613 nebyt.hosp</t>
  </si>
  <si>
    <t>4137 dotace stát:</t>
  </si>
  <si>
    <t>4137 HMP dotace</t>
  </si>
  <si>
    <t>05/ 4351 DPS zatepl dopl 45+198,1</t>
  </si>
  <si>
    <t>Schválený rozpočet 2017</t>
  </si>
  <si>
    <t>UR ZMČ 29/03</t>
  </si>
  <si>
    <t>UR 31/12/17</t>
  </si>
  <si>
    <t xml:space="preserve"> FV 2016</t>
  </si>
  <si>
    <t>Účelové prostředky poskytnuté Městské části Praha 16 v roce 2017:</t>
  </si>
  <si>
    <t>04/ZŠ syst.podp.výuky ČJ UZ 0108</t>
  </si>
  <si>
    <t>06/ výnos loterií</t>
  </si>
  <si>
    <t>10      FINANCOVÁNÍ</t>
  </si>
  <si>
    <r>
      <t>02/ 3722</t>
    </r>
    <r>
      <rPr>
        <sz val="9"/>
        <rFont val="Arial"/>
        <family val="2"/>
      </rPr>
      <t xml:space="preserve"> odpady provoz SbDv</t>
    </r>
  </si>
  <si>
    <t>UR 2017</t>
  </si>
  <si>
    <t>01-02/2017 obrat</t>
  </si>
  <si>
    <t>studie na dostavbu KS 58,08</t>
  </si>
  <si>
    <t>dot mngm 11,495</t>
  </si>
  <si>
    <t>pov.ochr Rymáň 257,73</t>
  </si>
  <si>
    <t xml:space="preserve">rek.nábř 397,94722+467,17702+80,1625; </t>
  </si>
  <si>
    <t>pěš.kom z 2016: 864,0852 ; rek NaBet 72,331; Kláz 82,885; PaP studie 66,55;Jasp 13,26;DZ 17,756;NaCik 48,199</t>
  </si>
  <si>
    <t>3231 ZUŠ</t>
  </si>
  <si>
    <t>PO 1-3/2017 přísp 540,0</t>
  </si>
  <si>
    <t>PO 1-3/2017 přísp 1,280,0</t>
  </si>
  <si>
    <t>GP pro p.č. 1108/25 5,808</t>
  </si>
  <si>
    <t>ověř.stud 30,25</t>
  </si>
  <si>
    <t>PO 1-3/2017 přísp 360,0; el.en 2016 +/-410,13592; teplo 18,00767+21,2253;</t>
  </si>
  <si>
    <t>(1194+971)+(1567+1131)x15,00</t>
  </si>
  <si>
    <t>Peč.sl 324,62147+36,02087; fyziot 2,637</t>
  </si>
  <si>
    <t>poj.odp 7,538+5,868; DPS 1,43071+1,1721 NDPS 8,14609+3,270</t>
  </si>
  <si>
    <t>1/douč 2x0,6+1;ŠVP 2x1,58+2,48;příp.konf 2x2,0; 2/zpráva 0,156;plav 0,6;mater 0,241+0,31+0,194+0,109</t>
  </si>
  <si>
    <t>mzdy 56,5; škol.pěst 4,95; cest 6,023</t>
  </si>
  <si>
    <t>kron 1,32; LK 4,89 výstava</t>
  </si>
  <si>
    <t>ván,trh 149</t>
  </si>
  <si>
    <t>provoz 161,44415 OMH energie,služby 104,68663</t>
  </si>
  <si>
    <t>provoz 170,40042; projektor 48,079; OMH energie -10,482; revize elektro 18,622+18,15; odpad 11,186;kávovar 8,826; ost 9,5207</t>
  </si>
  <si>
    <t>pomník Nosv 105,0</t>
  </si>
  <si>
    <t>oploc DH u Ondř 47,58</t>
  </si>
  <si>
    <t>prooz 98,88766; OMH energie,služby 41,18126;FAR 1,806</t>
  </si>
  <si>
    <t>tlf 677,6</t>
  </si>
  <si>
    <t>přísp PO TS 2/12 835,0</t>
  </si>
  <si>
    <t>Klub servis VZT 2x0,542</t>
  </si>
  <si>
    <t>provoz 28,17441; výročí 3,757 OMH/ rev.has.přístr 2,2385</t>
  </si>
  <si>
    <t>Zbrojnice PD pro StPov 409,464</t>
  </si>
  <si>
    <t>přísp PO TS 2/12 1.335; TS výměna kotle 63,03</t>
  </si>
  <si>
    <t>TDI radon 18,15; 1081/rek.bytu 287,9025</t>
  </si>
  <si>
    <t>soc.pohř Přib 5,55</t>
  </si>
  <si>
    <t xml:space="preserve">   výkon agendy SocPr</t>
  </si>
  <si>
    <t xml:space="preserve">   výkon agendy VeřOpatr</t>
  </si>
  <si>
    <t xml:space="preserve">  mzdy státní správa</t>
  </si>
  <si>
    <t xml:space="preserve">  mzdy samospráva</t>
  </si>
  <si>
    <t>6171 objekty 21,23,732,1600</t>
  </si>
  <si>
    <t>21/ 154,29209; 23/ 57,73081; 732/ -8,41189; 1600/ 3,032</t>
  </si>
  <si>
    <t>tlf k přeúčt BH,EČ 0,60021; kostel el.en. -7,602; NZZ rohože 2,84235; 5/ 0,48; 75/ 1,0285; 153/ 2,207; 1379/ 0,40535; 1517/ 0,501;2105/ 0,62;3612/0,192; MuŘ nájem 9,049; Biotop 6,9 voda k zúčt +10 nájem</t>
  </si>
  <si>
    <t>odm zast 192,418+35,702+17,32+2,122; mater 0,383;služby 1,45; pohošť 2,431</t>
  </si>
  <si>
    <t>Advent 24,205+6,655; Masopust 2,788; Rábl 50,0</t>
  </si>
  <si>
    <t>VÝDAJE 2017</t>
  </si>
  <si>
    <t xml:space="preserve"> </t>
  </si>
  <si>
    <t>platy 106,788 SP 26,565 ZP 9,570 pov.poj 0,447</t>
  </si>
  <si>
    <t>platy 23,221 SP 5,806 ZP 2,090 pov.poj 0,098</t>
  </si>
  <si>
    <t>platy 6,67 SP 1,667 ZP 0,601</t>
  </si>
  <si>
    <t>PŘÍJMY 2017</t>
  </si>
  <si>
    <t>Výdaje / náklady</t>
  </si>
  <si>
    <t>Příjmy / výnosy</t>
  </si>
  <si>
    <r>
      <t>Výsledek</t>
    </r>
    <r>
      <rPr>
        <sz val="8"/>
        <rFont val="Arial"/>
        <family val="2"/>
      </rPr>
      <t xml:space="preserve"> celkem</t>
    </r>
  </si>
  <si>
    <t>Hlavní činnost</t>
  </si>
  <si>
    <t>ekonomická činnost</t>
  </si>
  <si>
    <t>celkem</t>
  </si>
  <si>
    <t>2343 OdPa 2119 popl. dobýv prostor</t>
  </si>
  <si>
    <t>4137 výnos DPPO za 2016</t>
  </si>
  <si>
    <t xml:space="preserve">ZŠ FVE: </t>
  </si>
  <si>
    <t>fyzioterap.služby, rozvoz obědů,pronájem termonádob</t>
  </si>
  <si>
    <t>kino</t>
  </si>
  <si>
    <t>pronájmy, placená představení</t>
  </si>
  <si>
    <t>pronájem bytů, nebyt. V BD</t>
  </si>
  <si>
    <t>kniha o Radotínu</t>
  </si>
  <si>
    <t>Noviny P16</t>
  </si>
  <si>
    <t xml:space="preserve"> správa maj; rekr.zař; park NZZ; náj.poz; věc.břem; hrob.místa</t>
  </si>
  <si>
    <t>ples MČ; bank.účty EČ+BH; plakát, rozhlas</t>
  </si>
  <si>
    <t xml:space="preserve">prodej majetku: </t>
  </si>
  <si>
    <t>přísp PO TS 3./12 420,0</t>
  </si>
  <si>
    <t>prořez J.Koč 104,9; nábř infotabule 21,495 AS 21,78</t>
  </si>
  <si>
    <t xml:space="preserve">křiž Jel/Ot 18,0; </t>
  </si>
  <si>
    <t>EKIS 471,416</t>
  </si>
  <si>
    <t>měřič rychl 15,0</t>
  </si>
  <si>
    <t>Font 0,1 el; podz.ved V.Bal 15,0; Park. K Láz 154,88; VO 0,542+1,24+2,952</t>
  </si>
  <si>
    <t>64121-16/16*(2516+501+180+7,5)</t>
  </si>
  <si>
    <t xml:space="preserve"> =87.732-16/16*(3703+501+180+0)</t>
  </si>
  <si>
    <t>MŠ IV čišt.kan 2,8677</t>
  </si>
  <si>
    <t>Klub servis VZT 0,542</t>
  </si>
  <si>
    <t>teplo 11/16-2/17 -576,21132 zál 157,2-16,87337; el.en 70,179;zabezp 0,00121;napáj-zdroj kamery 2,384;půd.vest hluk 16,94+PD 264,99+techn.průzk 27,83; příst 1469,095+198,494+aut.doz 19,36+TDI 31,46+BOZP 14,52+banner 1,876</t>
  </si>
  <si>
    <t>teplo 11/16-02/17= -76,72079+2/2*19,98067</t>
  </si>
  <si>
    <t>SH kniha EPS 0,387</t>
  </si>
  <si>
    <t xml:space="preserve"> =(1126+1381)x15,00</t>
  </si>
  <si>
    <t>obrat 3/2017</t>
  </si>
  <si>
    <t>39748+9937+3578+4694,87+600+1/1*1002,27+2/2*2444,7</t>
  </si>
  <si>
    <t>UZ: 107421+26855+9668</t>
  </si>
  <si>
    <t>tlf UZ 081: -1,00227 UZ 13305: -2,4447; DPS rohože 0,384; tlf 1,03114; NDPS rohože 1,27; tlf 2,29686; VZT 1,317</t>
  </si>
  <si>
    <t xml:space="preserve">  - " - </t>
  </si>
  <si>
    <t>douč 0,8+1,6+1,2; DD 0,272;hodnoc 0,332;krouž+ŠVP+lyžák 12,2</t>
  </si>
  <si>
    <t>provoz 313,42352 UZ 081: -62,00484 UZ 13305: -143,944; fyzioter 3,752; OMH údržba 6,127</t>
  </si>
  <si>
    <t>kron 1,32; LK 3,009 výstava</t>
  </si>
  <si>
    <t>banery advent 0,625 masopust 0,625</t>
  </si>
  <si>
    <t>provoz 24,778 (mater 2,013+1,372+0,24; PHM 1,93406;FRP 0,363;škol.řid 4,32;služby 3,586+2,118;kurz 6,622;tlf 0,599+0,3388;rev 1,609;poj 0,249)</t>
  </si>
  <si>
    <t>odm.zast 245,44 MČ/ záj.Burg 18,95+poj 0,136; repre 8,128+0,715+0,914 služby 9,5 Kačab 5 květiny 2,465</t>
  </si>
  <si>
    <t>Hala bezp.pož 219,903; GSM brána 9,599</t>
  </si>
  <si>
    <t>tvorba SFZ 72,213</t>
  </si>
  <si>
    <t>úrok SFZ I.Q 0,165</t>
  </si>
  <si>
    <t>PO přísp 1/12: 670,0</t>
  </si>
  <si>
    <t>rek.bytu v čp 1070 227,07325</t>
  </si>
  <si>
    <t>soc.pohř 5,55</t>
  </si>
  <si>
    <t>bude účel SocPr 22,970+2,068+5,743+0,096=30,877</t>
  </si>
  <si>
    <t>součást přísp na StSp 6,567+0,592+1,642=8,801</t>
  </si>
  <si>
    <t>bude účel SPOD 112,762+10,149+28,191+0,457=151,559</t>
  </si>
  <si>
    <t>tlf 677,6/2</t>
  </si>
  <si>
    <t xml:space="preserve">Kost el.en 1,5 NZZ rohože 1,002    </t>
  </si>
  <si>
    <t>2223 bezpečn.siln.provozu                       2221 veř.silniční doprava</t>
  </si>
  <si>
    <t>chodn Stráž 25,81172;Font 0,1x3; VO 0,54+1,226+2,935+2/2*0,542+1,24+2,952;manip.Prv 97,554;el.en -2,82+12,838;elmob 2,178;rek.schod.Karl 93,17; DS U Ondř inv 14,577</t>
  </si>
  <si>
    <t>příst 1/1500+242,611+16,94;2/2546,981; školn.domek 14,157;el.en 30,5+83,973+78,407+56,732; 2/ vod,stoč 76,95-40,43011;teplo 208,1+160,2-90,13609;poj.pln 15,629;el.en.2016 +/-305,39613;el.en 56,732;zabezp 0,00302+0,00484; TDI 31,46; BOZP 10,89</t>
  </si>
  <si>
    <t>čaj 3,4+0,94; dárk.bal 6,25;tisk 0,765 tísň.vol 33,0</t>
  </si>
  <si>
    <t>provoz 90,32789;OMH čist 0,58479; VZT 0,567;teplo 16,21545; el. 2,5;rev.elinstal 16,532; Krejčí 6,498</t>
  </si>
  <si>
    <t>provoz 161,1365; teplo 13,6795; čist.podlah 26,257; el.en 3,5; krejčí 3,289</t>
  </si>
  <si>
    <t>platy 961,136 SP 240,284 ZP 86,502 pov.poj 4,037 1.007.980+251.995+90.718+4.234</t>
  </si>
  <si>
    <t>platy 745,867 SP 186,467 ZP 67,128 pov.poj 3,133 platy 699,023 174,756 62,912 2,936</t>
  </si>
  <si>
    <t>mzdy 107,421+26,855+9,668 škol 4,050+0,397</t>
  </si>
  <si>
    <r>
      <rPr>
        <sz val="8"/>
        <rFont val="Arial"/>
        <family val="2"/>
      </rPr>
      <t>KÚ</t>
    </r>
    <r>
      <rPr>
        <sz val="7"/>
        <rFont val="Arial"/>
        <family val="2"/>
      </rPr>
      <t xml:space="preserve">/ 130,47316; NP16/139,00349; krize 9,208 </t>
    </r>
    <r>
      <rPr>
        <b/>
        <sz val="8"/>
        <rFont val="Arial"/>
        <family val="2"/>
      </rPr>
      <t>OOS</t>
    </r>
    <r>
      <rPr>
        <sz val="7"/>
        <rFont val="Arial"/>
        <family val="2"/>
      </rPr>
      <t xml:space="preserve">/  81,36193 (v tom FS 50,0 zaříz 15,36942) </t>
    </r>
    <r>
      <rPr>
        <b/>
        <sz val="8"/>
        <rFont val="Arial"/>
        <family val="2"/>
      </rPr>
      <t>OE</t>
    </r>
    <r>
      <rPr>
        <sz val="7"/>
        <rFont val="Arial"/>
        <family val="2"/>
      </rPr>
      <t xml:space="preserve">/ provoz 87,619; odm 2014,2015 0,76 </t>
    </r>
    <r>
      <rPr>
        <b/>
        <sz val="8"/>
        <rFont val="Arial"/>
        <family val="2"/>
      </rPr>
      <t>OMH</t>
    </r>
    <r>
      <rPr>
        <sz val="7"/>
        <rFont val="Arial"/>
        <family val="2"/>
      </rPr>
      <t xml:space="preserve">/ 197,82645+poj 9,19 </t>
    </r>
    <r>
      <rPr>
        <b/>
        <sz val="8"/>
        <rFont val="Arial"/>
        <family val="2"/>
      </rPr>
      <t>OS</t>
    </r>
    <r>
      <rPr>
        <sz val="7"/>
        <rFont val="Arial"/>
        <family val="2"/>
      </rPr>
      <t xml:space="preserve">/21,527 </t>
    </r>
    <r>
      <rPr>
        <b/>
        <sz val="8"/>
        <rFont val="Arial"/>
        <family val="2"/>
      </rPr>
      <t>OVDŽP</t>
    </r>
    <r>
      <rPr>
        <sz val="7"/>
        <rFont val="Arial"/>
        <family val="2"/>
      </rPr>
      <t xml:space="preserve">/32,494 </t>
    </r>
    <r>
      <rPr>
        <b/>
        <sz val="8"/>
        <rFont val="Arial"/>
        <family val="2"/>
      </rPr>
      <t>OŽ</t>
    </r>
    <r>
      <rPr>
        <sz val="7"/>
        <rFont val="Arial"/>
        <family val="2"/>
      </rPr>
      <t xml:space="preserve">/3,754 celkem 713,21703 </t>
    </r>
    <r>
      <rPr>
        <b/>
        <sz val="8"/>
        <rFont val="Arial"/>
        <family val="2"/>
      </rPr>
      <t>FAR</t>
    </r>
    <r>
      <rPr>
        <sz val="7"/>
        <rFont val="Arial"/>
        <family val="2"/>
      </rPr>
      <t>/ 771,3285</t>
    </r>
  </si>
  <si>
    <r>
      <rPr>
        <b/>
        <sz val="8"/>
        <rFont val="Arial"/>
        <family val="2"/>
      </rPr>
      <t>21</t>
    </r>
    <r>
      <rPr>
        <sz val="7"/>
        <rFont val="Arial"/>
        <family val="2"/>
      </rPr>
      <t xml:space="preserve">/ 64,41479; </t>
    </r>
    <r>
      <rPr>
        <b/>
        <sz val="8"/>
        <rFont val="Arial"/>
        <family val="2"/>
      </rPr>
      <t>23</t>
    </r>
    <r>
      <rPr>
        <sz val="7"/>
        <rFont val="Arial"/>
        <family val="2"/>
      </rPr>
      <t xml:space="preserve">/ 24,7718; </t>
    </r>
    <r>
      <rPr>
        <b/>
        <sz val="8"/>
        <rFont val="Arial"/>
        <family val="2"/>
      </rPr>
      <t>732</t>
    </r>
    <r>
      <rPr>
        <sz val="7"/>
        <rFont val="Arial"/>
        <family val="2"/>
      </rPr>
      <t xml:space="preserve">/ 17.26518; </t>
    </r>
    <r>
      <rPr>
        <b/>
        <sz val="8"/>
        <rFont val="Arial"/>
        <family val="2"/>
      </rPr>
      <t>1600</t>
    </r>
    <r>
      <rPr>
        <sz val="7"/>
        <rFont val="Arial"/>
        <family val="2"/>
      </rPr>
      <t>/ 1,0</t>
    </r>
  </si>
  <si>
    <r>
      <t xml:space="preserve">KrálPrův 2,5; </t>
    </r>
    <r>
      <rPr>
        <b/>
        <sz val="7"/>
        <rFont val="Arial"/>
        <family val="2"/>
      </rPr>
      <t xml:space="preserve">Masopust </t>
    </r>
    <r>
      <rPr>
        <sz val="7"/>
        <rFont val="Arial"/>
        <family val="2"/>
      </rPr>
      <t>73,873+2,3;</t>
    </r>
    <r>
      <rPr>
        <b/>
        <sz val="8"/>
        <rFont val="Arial"/>
        <family val="2"/>
      </rPr>
      <t xml:space="preserve">Bál </t>
    </r>
    <r>
      <rPr>
        <sz val="7"/>
        <rFont val="Arial"/>
        <family val="2"/>
      </rPr>
      <t xml:space="preserve">reportáž+progr 8,825 </t>
    </r>
    <r>
      <rPr>
        <b/>
        <sz val="8"/>
        <rFont val="Arial"/>
        <family val="2"/>
      </rPr>
      <t>HavPosv</t>
    </r>
    <r>
      <rPr>
        <sz val="7"/>
        <rFont val="Arial"/>
        <family val="2"/>
      </rPr>
      <t xml:space="preserve"> 3,25 </t>
    </r>
    <r>
      <rPr>
        <b/>
        <sz val="8"/>
        <rFont val="Arial"/>
        <family val="2"/>
      </rPr>
      <t>BB</t>
    </r>
    <r>
      <rPr>
        <sz val="7"/>
        <rFont val="Arial"/>
        <family val="2"/>
      </rPr>
      <t xml:space="preserve"> 2,0 </t>
    </r>
    <r>
      <rPr>
        <b/>
        <sz val="8"/>
        <rFont val="Arial"/>
        <family val="2"/>
      </rPr>
      <t>Horym</t>
    </r>
    <r>
      <rPr>
        <sz val="7"/>
        <rFont val="Arial"/>
        <family val="2"/>
      </rPr>
      <t xml:space="preserve"> 20,27; </t>
    </r>
    <r>
      <rPr>
        <b/>
        <sz val="8"/>
        <rFont val="Arial"/>
        <family val="2"/>
      </rPr>
      <t>2014: KrálPr</t>
    </r>
    <r>
      <rPr>
        <sz val="7"/>
        <rFont val="Arial"/>
        <family val="2"/>
      </rPr>
      <t xml:space="preserve"> 5,879+2,0</t>
    </r>
  </si>
  <si>
    <r>
      <t xml:space="preserve">732 </t>
    </r>
    <r>
      <rPr>
        <sz val="7"/>
        <rFont val="Arial"/>
        <family val="2"/>
      </rPr>
      <t>zatepl 16,94</t>
    </r>
  </si>
  <si>
    <r>
      <t>07/ 5512 JSDH invest</t>
    </r>
    <r>
      <rPr>
        <sz val="8"/>
        <rFont val="Arial"/>
        <family val="2"/>
      </rPr>
      <t xml:space="preserve"> ponech z 2016</t>
    </r>
  </si>
  <si>
    <r>
      <t xml:space="preserve">MeetFin žádost 90,0; </t>
    </r>
    <r>
      <rPr>
        <strike/>
        <sz val="7"/>
        <rFont val="Arial"/>
        <family val="2"/>
      </rPr>
      <t>TDI 31,46; BOZP 10,89</t>
    </r>
  </si>
  <si>
    <r>
      <t xml:space="preserve">03/ 2212 rek. místních komunikací </t>
    </r>
    <r>
      <rPr>
        <sz val="7"/>
        <rFont val="Arial"/>
        <family val="2"/>
      </rPr>
      <t>UZ 090 ponech z 2016</t>
    </r>
  </si>
  <si>
    <t>obrat 4/2017</t>
  </si>
  <si>
    <t>04/účel.dot.HMP</t>
  </si>
  <si>
    <t>04/účel.dot.MŠMT</t>
  </si>
  <si>
    <t>04/ ZŠ bazén</t>
  </si>
  <si>
    <t>II: Renard žádost 11,495; Alb 6.930,94897</t>
  </si>
  <si>
    <t>rez.přík 3,2</t>
  </si>
  <si>
    <t>dopr.znač 6,63+47,972; rek.míst.kom vlastní MČ 950,46375</t>
  </si>
  <si>
    <t>EKIS 1.208,7174; MČ vlastní -950,46375</t>
  </si>
  <si>
    <t>demograf.stud 60; OON 74,1 SP 10,023 ZP 3,609 pov.poj 0,506</t>
  </si>
  <si>
    <t>přísp PO 2.Q 540</t>
  </si>
  <si>
    <t>přísp PO 2.Q 1.280</t>
  </si>
  <si>
    <t>odesláno ZŠ účel.přísp 28,14</t>
  </si>
  <si>
    <t>přísp PO 2.Q 360 teplo 15,62816</t>
  </si>
  <si>
    <t>04/ 3113 ZŠ aula ponech z 2016</t>
  </si>
  <si>
    <t>04/ MHMP účel 2016</t>
  </si>
  <si>
    <t xml:space="preserve"> =(1239+1613)x15,00</t>
  </si>
  <si>
    <t>zájezdy zadav.činnost 16,94; blahopř 0,799; SON tísň.vol -31,5</t>
  </si>
  <si>
    <t>DPS: rohože 1,32105 NDPS: 3,07992 rek.střechy 56,628</t>
  </si>
  <si>
    <t>kron 1,32; LK 2,162</t>
  </si>
  <si>
    <t>celkem -65,69318; OMH 12,63558</t>
  </si>
  <si>
    <t>provoz 65,26708; knihy UZ -71,1; OMH 69,47777</t>
  </si>
  <si>
    <t>pomník Nosv vyúčt 2,77</t>
  </si>
  <si>
    <t>provoz 180,69002; OMH 47,49094; disk 3,092</t>
  </si>
  <si>
    <t>přísp PO 670; Kärcher MC50 Adv servis 0,32065</t>
  </si>
  <si>
    <t>ŠVP 4,5 lék.zpr 0,3; DD 0,375</t>
  </si>
  <si>
    <t>21/ 49,34543; 23/ 29,70474; 732/24,15751-vratka ÚP-37,25= -13,09249; 1600/ 4,34674</t>
  </si>
  <si>
    <t>Masop 2,9; doúčt 2014/10,176; Bezp.jaro dary 10,682</t>
  </si>
  <si>
    <t>odm 383,406; provoz 16,499</t>
  </si>
  <si>
    <t>čerpání UZ MPSV 96,523</t>
  </si>
  <si>
    <t>čerp UZ 081 HMP 25,503</t>
  </si>
  <si>
    <t>provoz 15,07645-0,338</t>
  </si>
  <si>
    <t>SFZ 3% za 3/2017 107,0</t>
  </si>
  <si>
    <t>čerpání UZ -294,929</t>
  </si>
  <si>
    <t>čerpání UZ -20,2</t>
  </si>
  <si>
    <t>čerpání org 4137 -11,786</t>
  </si>
  <si>
    <t>3/2017: 1.235,212; krytí 1-3/2017: EČ 432,151+BH 510,217</t>
  </si>
  <si>
    <t>3/2017: 1.691,508</t>
  </si>
  <si>
    <t>čerp UZ 081 Hmp 71,1</t>
  </si>
  <si>
    <t>čerp UZ 081 tlf 0,3388</t>
  </si>
  <si>
    <t>čerp UZ PěPé 97,216</t>
  </si>
  <si>
    <t>obrat 5/2017</t>
  </si>
  <si>
    <t>přísp SbDv 5./12=410</t>
  </si>
  <si>
    <t>přísp SbDv 4./12=420</t>
  </si>
  <si>
    <t>VO 1,152+0,542+0,342 el.en.MuŘ 0,2; 0,542+1,24+2,952</t>
  </si>
  <si>
    <t>teplo 88,6748 el.en 52,267 (zabezp 1,21) kanal.potr 23,299; derat 1,51; přístavba vlastní MČ 2.626,377; MP žádost zvýš.kap 200</t>
  </si>
  <si>
    <t>PS: 366,68699; na EČ: plat+odv -7,7-0,504-1,925 +3,783 ? čerpání UZ MPSV -96,523; čerp UZ 081 HMP -25,503</t>
  </si>
  <si>
    <r>
      <rPr>
        <b/>
        <sz val="8"/>
        <rFont val="Arial"/>
        <family val="2"/>
      </rPr>
      <t>KÚ</t>
    </r>
    <r>
      <rPr>
        <sz val="7"/>
        <rFont val="Arial"/>
        <family val="2"/>
      </rPr>
      <t xml:space="preserve">: 32,36643; NP16/65,97991;orient 0,38+0,77+2,01 </t>
    </r>
    <r>
      <rPr>
        <b/>
        <sz val="8"/>
        <rFont val="Arial"/>
        <family val="2"/>
      </rPr>
      <t>OOS</t>
    </r>
    <r>
      <rPr>
        <sz val="7"/>
        <rFont val="Arial"/>
        <family val="2"/>
      </rPr>
      <t xml:space="preserve">: 42,42471 </t>
    </r>
    <r>
      <rPr>
        <b/>
        <sz val="8"/>
        <rFont val="Arial"/>
        <family val="2"/>
      </rPr>
      <t>OE</t>
    </r>
    <r>
      <rPr>
        <sz val="7"/>
        <rFont val="Arial"/>
        <family val="2"/>
      </rPr>
      <t xml:space="preserve">: celkem 2.554,33707; man 121,071;veř.opatr 11,786 EČ -432,151; BH -510,217; čerp UZ: 1236,67394; </t>
    </r>
    <r>
      <rPr>
        <b/>
        <sz val="8"/>
        <rFont val="Arial"/>
        <family val="2"/>
      </rPr>
      <t>OMH</t>
    </r>
    <r>
      <rPr>
        <sz val="7"/>
        <rFont val="Arial"/>
        <family val="2"/>
      </rPr>
      <t xml:space="preserve">: 220,50481; poj 0,351 </t>
    </r>
    <r>
      <rPr>
        <b/>
        <sz val="8"/>
        <rFont val="Arial"/>
        <family val="2"/>
      </rPr>
      <t>OS</t>
    </r>
    <r>
      <rPr>
        <sz val="7"/>
        <rFont val="Arial"/>
        <family val="2"/>
      </rPr>
      <t xml:space="preserve">: na UZ SPOD -13,69308; </t>
    </r>
    <r>
      <rPr>
        <b/>
        <sz val="8"/>
        <rFont val="Arial"/>
        <family val="2"/>
      </rPr>
      <t>OVDŽP</t>
    </r>
    <r>
      <rPr>
        <sz val="7"/>
        <rFont val="Arial"/>
        <family val="2"/>
      </rPr>
      <t xml:space="preserve">: 20,324,45; </t>
    </r>
    <r>
      <rPr>
        <b/>
        <sz val="8"/>
        <rFont val="Arial"/>
        <family val="2"/>
      </rPr>
      <t>OŽ</t>
    </r>
    <r>
      <rPr>
        <sz val="7"/>
        <rFont val="Arial"/>
        <family val="2"/>
      </rPr>
      <t xml:space="preserve">: 0,064; </t>
    </r>
    <r>
      <rPr>
        <b/>
        <sz val="8"/>
        <rFont val="Arial"/>
        <family val="2"/>
      </rPr>
      <t>0910</t>
    </r>
    <r>
      <rPr>
        <sz val="7"/>
        <rFont val="Arial"/>
        <family val="2"/>
      </rPr>
      <t>: 332,32163; SvS 4,441</t>
    </r>
  </si>
  <si>
    <r>
      <t xml:space="preserve">tlf výtahy 0,599+0,00121; NZZ rohože 0,501; bazar 0,48; 117/roh 0,501; </t>
    </r>
    <r>
      <rPr>
        <b/>
        <sz val="8"/>
        <rFont val="Arial"/>
        <family val="2"/>
      </rPr>
      <t>3612</t>
    </r>
    <r>
      <rPr>
        <sz val="7"/>
        <rFont val="Arial"/>
        <family val="2"/>
      </rPr>
      <t>/0,192;Biotop park.syst 27,201</t>
    </r>
  </si>
  <si>
    <r>
      <t xml:space="preserve">platy 1-3/2017 vč odv 486,453; </t>
    </r>
    <r>
      <rPr>
        <b/>
        <sz val="8"/>
        <rFont val="Arial"/>
        <family val="2"/>
      </rPr>
      <t>OS</t>
    </r>
    <r>
      <rPr>
        <sz val="7"/>
        <rFont val="Arial"/>
        <family val="2"/>
      </rPr>
      <t>: tlf 0,1149+6,0+cest 14,053+ŠVP 2,4</t>
    </r>
  </si>
  <si>
    <t>derat.deš%t.kan 4,4</t>
  </si>
  <si>
    <t>terén 10,07+5,52; servis 39,325; PK II: samolepky 1,2; Ren žádost  11,495; TDI 45; Albet 690,70309</t>
  </si>
  <si>
    <t>lavička,pařez 36,77795; sad.úpr 244,568</t>
  </si>
  <si>
    <t>VLK mlat-povrch 188,637;mosty pohl 3,6; Park.Vinohr 21,175; schod.Karl 16,94;VO Balého 20,266;P+R žádost 240; VO 2,352+0,542+0,941</t>
  </si>
  <si>
    <t>OON 74,1 SP 10,023 ZP 3,609</t>
  </si>
  <si>
    <t>MŠ III dveře 42,5</t>
  </si>
  <si>
    <t>na účet PO ZŠ 33,435</t>
  </si>
  <si>
    <t>teplo 13,793,62</t>
  </si>
  <si>
    <t>ZŠ účel vybavení přístavby 1.200,0</t>
  </si>
  <si>
    <t>Granty 8+10+7,2+10</t>
  </si>
  <si>
    <t>4319/473,5-98/17,2; 4329/330,2-98/18,0; 3421/111,0</t>
  </si>
  <si>
    <t>(1333+1050)x15</t>
  </si>
  <si>
    <t>DPS: 1,38476 NDPS: 3,01554 VZT 4,609</t>
  </si>
  <si>
    <t>25xdárk.bal 3,750; gratul 0,782; Čaj OSA 0,64; zájezd 13,02; tísň 33</t>
  </si>
  <si>
    <t>DD 0,529+1,069; LDT 3xBodiš 12,54</t>
  </si>
  <si>
    <r>
      <t>provoz 131,20463</t>
    </r>
    <r>
      <rPr>
        <sz val="6"/>
        <rFont val="Arial"/>
        <family val="2"/>
      </rPr>
      <t xml:space="preserve">;Krejčí </t>
    </r>
    <r>
      <rPr>
        <sz val="7"/>
        <rFont val="Arial"/>
        <family val="2"/>
      </rPr>
      <t>2,54;rohože 0,771;VZT 0,708;el.en 2,6</t>
    </r>
  </si>
  <si>
    <t>kronika 1,32</t>
  </si>
  <si>
    <t>VDD 32,7566 Král.pr 1,1664 Výtv 1,0138 BurčBr 1,4026 Neck 1,4026</t>
  </si>
  <si>
    <t>Grant 10</t>
  </si>
  <si>
    <t>provoz 96,51225 OMH 13,99644 v tom teplo 10,69072 sáčky vys 1,24872,voda 1,49; vZT 0,567</t>
  </si>
  <si>
    <t>provoz 155,38271 OMH teplo 7,25732</t>
  </si>
  <si>
    <t>servis AVIA 22,467; snímač 4,35 SMS 0,363 PHM 6,58438;mater 3,871;STK 1,38;Dräg 4,03;škol 5;kanc 3,555;tlf 0,599+0,3388;pila 25,07</t>
  </si>
  <si>
    <t>PO přísp 660; servis Farid 37,742</t>
  </si>
  <si>
    <t>odm.zast 245,44 910/ 19,63 (obč 0,931+1,143+0,05;pok 0,4x0) tlf Far 17,906</t>
  </si>
  <si>
    <t>mzda 8,989</t>
  </si>
  <si>
    <r>
      <rPr>
        <b/>
        <sz val="7"/>
        <rFont val="Arial"/>
        <family val="2"/>
      </rPr>
      <t>KÚ</t>
    </r>
    <r>
      <rPr>
        <sz val="7"/>
        <rFont val="Arial"/>
        <family val="2"/>
      </rPr>
      <t xml:space="preserve">/ 27,00318; NP16 60,73229 </t>
    </r>
    <r>
      <rPr>
        <b/>
        <sz val="7"/>
        <rFont val="Arial"/>
        <family val="2"/>
      </rPr>
      <t>OOS</t>
    </r>
    <r>
      <rPr>
        <sz val="7"/>
        <rFont val="Arial"/>
        <family val="2"/>
      </rPr>
      <t xml:space="preserve">/ 73,57741 (FS 50-50+9,6437;WebCall 7,26;tisk 3,85;techn.zař 7,68471;vítání 39,2;květiny 2,228) </t>
    </r>
    <r>
      <rPr>
        <b/>
        <sz val="7"/>
        <rFont val="Arial"/>
        <family val="2"/>
      </rPr>
      <t>OE</t>
    </r>
    <r>
      <rPr>
        <sz val="7"/>
        <rFont val="Arial"/>
        <family val="2"/>
      </rPr>
      <t xml:space="preserve">/ 2.654,929 </t>
    </r>
    <r>
      <rPr>
        <b/>
        <sz val="7"/>
        <rFont val="Arial"/>
        <family val="2"/>
      </rPr>
      <t>OMH</t>
    </r>
    <r>
      <rPr>
        <sz val="7"/>
        <rFont val="Arial"/>
        <family val="2"/>
      </rPr>
      <t xml:space="preserve">/ 371,61474 poj 110,946; </t>
    </r>
    <r>
      <rPr>
        <b/>
        <sz val="7"/>
        <rFont val="Arial"/>
        <family val="2"/>
      </rPr>
      <t>OS</t>
    </r>
    <r>
      <rPr>
        <sz val="7"/>
        <rFont val="Arial"/>
        <family val="2"/>
      </rPr>
      <t xml:space="preserve">/ 12,15351-SPOD 9,49843; </t>
    </r>
    <r>
      <rPr>
        <b/>
        <sz val="7"/>
        <rFont val="Arial"/>
        <family val="2"/>
      </rPr>
      <t>OVDŽP</t>
    </r>
    <r>
      <rPr>
        <sz val="7"/>
        <rFont val="Arial"/>
        <family val="2"/>
      </rPr>
      <t xml:space="preserve">/17,903 </t>
    </r>
    <r>
      <rPr>
        <b/>
        <sz val="7"/>
        <rFont val="Arial"/>
        <family val="2"/>
      </rPr>
      <t>OŽ</t>
    </r>
    <r>
      <rPr>
        <sz val="7"/>
        <rFont val="Arial"/>
        <family val="2"/>
      </rPr>
      <t>/2.98;</t>
    </r>
    <r>
      <rPr>
        <b/>
        <sz val="7"/>
        <rFont val="Arial"/>
        <family val="2"/>
      </rPr>
      <t>MČ</t>
    </r>
    <r>
      <rPr>
        <sz val="7"/>
        <rFont val="Arial"/>
        <family val="2"/>
      </rPr>
      <t xml:space="preserve">/ záj.Burg 18,95; </t>
    </r>
    <r>
      <rPr>
        <b/>
        <sz val="7"/>
        <rFont val="Arial"/>
        <family val="2"/>
      </rPr>
      <t>ÚMČ</t>
    </r>
    <r>
      <rPr>
        <sz val="7"/>
        <rFont val="Arial"/>
        <family val="2"/>
      </rPr>
      <t>/ 839,40091</t>
    </r>
  </si>
  <si>
    <t>dopočet 1-2/31,215+30,877; 4/31,24</t>
  </si>
  <si>
    <t>VDD 0,483+4,62+8+5,684 KrPr 1,75 HavPosv Kott 15 Memoriál report 6,655 Biotop otevř 8+28,75+4+5,879 halog (31/03) IZS 1,511 BezpJaro 11</t>
  </si>
  <si>
    <t>úhrada CAS 7468,34034</t>
  </si>
  <si>
    <t>čerp účel</t>
  </si>
  <si>
    <t>čerp účel 49,247</t>
  </si>
  <si>
    <t>čerp účel 138,30224</t>
  </si>
  <si>
    <t>čerp. Účel 17,04</t>
  </si>
  <si>
    <t>čerp. účel 22,957</t>
  </si>
  <si>
    <t>z BÚ na 107 74,182</t>
  </si>
  <si>
    <t>PS 313,82273 Fyzioter 3,752; účel -72,204 (081+13305)</t>
  </si>
  <si>
    <r>
      <t>07/ 5512 JSDH invest</t>
    </r>
    <r>
      <rPr>
        <sz val="8"/>
        <rFont val="Arial"/>
        <family val="2"/>
      </rPr>
      <t xml:space="preserve"> pokrač z 2016</t>
    </r>
  </si>
  <si>
    <t>SFZ poplatky</t>
  </si>
  <si>
    <t>SFZ příděl</t>
  </si>
  <si>
    <r>
      <t xml:space="preserve">4339 pěst.péče                                             </t>
    </r>
    <r>
      <rPr>
        <strike/>
        <sz val="10"/>
        <rFont val="Arial"/>
        <family val="2"/>
      </rPr>
      <t>4319 soc. péče</t>
    </r>
  </si>
  <si>
    <t>3330 Grant 3412 sport.zař</t>
  </si>
  <si>
    <t>bez org +94,38 ? Zpomal.pr TDI 20; EKIS pěší kom 417,02392</t>
  </si>
  <si>
    <r>
      <t xml:space="preserve">voda 76,95; teplo 26,918;el.en 48,996;zabezp 0,00303; </t>
    </r>
    <r>
      <rPr>
        <b/>
        <sz val="8"/>
        <rFont val="Arial"/>
        <family val="2"/>
      </rPr>
      <t xml:space="preserve">Příst: </t>
    </r>
    <r>
      <rPr>
        <sz val="7"/>
        <rFont val="Arial"/>
        <family val="2"/>
      </rPr>
      <t>BOZP 14,52x2;barevnost 9,68; autor 19,36; TDI 31,46; AREN 1807,43078</t>
    </r>
  </si>
  <si>
    <r>
      <t>provoz 139,62847 OMH 6,217</t>
    </r>
    <r>
      <rPr>
        <sz val="6"/>
        <rFont val="Arial"/>
        <family val="2"/>
      </rPr>
      <t xml:space="preserve"> drž.projekt 3,85 rohože 0,385 kanc 1,274 VZT 0,708</t>
    </r>
  </si>
  <si>
    <r>
      <rPr>
        <b/>
        <sz val="7"/>
        <rFont val="Arial"/>
        <family val="2"/>
      </rPr>
      <t>21</t>
    </r>
    <r>
      <rPr>
        <sz val="7"/>
        <rFont val="Arial"/>
        <family val="2"/>
      </rPr>
      <t xml:space="preserve">/ 46,22805 has 1,21;voda 17,85 Font 0,109+0,604 teplo 26,51205 rohož 0,323 ?? -380?? </t>
    </r>
    <r>
      <rPr>
        <b/>
        <sz val="7"/>
        <rFont val="Arial"/>
        <family val="2"/>
      </rPr>
      <t>23/</t>
    </r>
    <r>
      <rPr>
        <sz val="7"/>
        <rFont val="Arial"/>
        <family val="2"/>
      </rPr>
      <t xml:space="preserve"> 10,71885 voda 5,92 Font 0,036+1,208 teplo 6,85685 rohož 1,139 ?? -4441 ? </t>
    </r>
    <r>
      <rPr>
        <b/>
        <sz val="7"/>
        <rFont val="Arial"/>
        <family val="2"/>
      </rPr>
      <t>732</t>
    </r>
    <r>
      <rPr>
        <sz val="7"/>
        <rFont val="Arial"/>
        <family val="2"/>
      </rPr>
      <t>/ 9,73565 voda 2,23 rohož 0,268 Font 0,604 teplo 7,29465 ?-770?</t>
    </r>
  </si>
  <si>
    <t>9021/-3+1x0,599; 3612/ -3+1x1,21 NZZ/rohože 0,501+0,042;kluz 0,45;1517/ rohož 0,501;3612/0,268;Biot-voda +/- 13,07 ??-5.879,00??</t>
  </si>
  <si>
    <t>VZT 0,542 chybí 04/0,542</t>
  </si>
  <si>
    <t>mzd.výdaje 54,283 +6038/0,759 !</t>
  </si>
  <si>
    <t>obrat 6/2017</t>
  </si>
  <si>
    <t>znal.pos.poz. Rymáň 43,0</t>
  </si>
  <si>
    <t>čp 23 záhon 15,285; svah u lávky 89,865; MuŘ oploc 38,5</t>
  </si>
  <si>
    <t>REN PodKont 4,235 PPMZ 2016; žádost 11,495; likv.skládky 34,386</t>
  </si>
  <si>
    <t>opr.výtluků 284,217; EKIS rek.kom vlastní MC 490,83254</t>
  </si>
  <si>
    <t>znač  Vrá,Věšt 22,772+21,177+Ondř 47,6; font el. 0,1;  VO 2,352+0,542 +0,941;elmob NOsv 3,233+Vráž 18,449;schod.Karl 127,57107;lávka Uučil 91,0126</t>
  </si>
  <si>
    <t>teplo 8,76163 ; vstupní vrata 29,5</t>
  </si>
  <si>
    <t>KS DNP 9,33; VDD 41,7566;ván.trh 2016 14,9;KAAN 10; OMH služby 65,48817</t>
  </si>
  <si>
    <t>1/12 účel.dot 415,0</t>
  </si>
  <si>
    <t>PO ZS účel.dot 51,0</t>
  </si>
  <si>
    <t>CzCon 338,8</t>
  </si>
  <si>
    <t>CzCon 8,47</t>
  </si>
  <si>
    <t>čerp účel 101,38</t>
  </si>
  <si>
    <t>použití UZ 098 loterie -341,5</t>
  </si>
  <si>
    <t>(1522+1144)x15</t>
  </si>
  <si>
    <t>PS provoz 154,24135; fyzipter 3,752</t>
  </si>
  <si>
    <t>DPS 1,12516;  NDPS 2,86952 VZT 1,317</t>
  </si>
  <si>
    <t>ŠVP 3-1 LDT 5,29+3 na PěPé -1; douč 5+6,8; DD 0,098; zpráva 0,088</t>
  </si>
  <si>
    <t>mzd.výd 45,708; výlet 2,2; ŠVP 2-1</t>
  </si>
  <si>
    <t>provoz 96,48148 OMH 10,98843 (VZT 0,567; derat 0,3;teplo 7,62143;el.en 2,5)</t>
  </si>
  <si>
    <t>provoz 179,741-71,1 UZ; OMH 49,52473 (el.rev 6,7821;rolety 36,7356;derat 0,3;teplo 2,20703;el.en 3,5)</t>
  </si>
  <si>
    <t>kron 1,32</t>
  </si>
  <si>
    <t>provoz 130,95993+71,1 UZ MK; UZ 098: -9,330; OMH 17,6787 (elrev 2,9887;ploš 1,222;kopír 2,275;hromsvod 7,5;VZT 0,708;rohož 0,385) UZ 098: -65,48817</t>
  </si>
  <si>
    <t>Gr 339134 na UZ 098</t>
  </si>
  <si>
    <t>DH U Ondř Albet 116,71781</t>
  </si>
  <si>
    <t>UH vodoměr.soust 7,7</t>
  </si>
  <si>
    <t>PO 665,0</t>
  </si>
  <si>
    <t>čerp účel 149,534,84</t>
  </si>
  <si>
    <t>mzda 9,103</t>
  </si>
  <si>
    <t>mzda 31,797</t>
  </si>
  <si>
    <r>
      <t xml:space="preserve">KÚ/ 81,1642 škol 2,19+1,99+0,6+Syndrom 21,75+21-Pož 14,762+KINO 10,043+ved 5; ChCr ind 29,12 tlf 3,0138+11,67511+Zbr 5,52989 web AJ 1,4339 Radium 3,8615;NP16 70,08133;21/19,762 ? 3.094,01? </t>
    </r>
    <r>
      <rPr>
        <b/>
        <sz val="5"/>
        <rFont val="Arial"/>
        <family val="2"/>
      </rPr>
      <t>OOS</t>
    </r>
    <r>
      <rPr>
        <sz val="5"/>
        <rFont val="Arial"/>
        <family val="2"/>
      </rPr>
      <t>/ 57,41371-2,228;</t>
    </r>
    <r>
      <rPr>
        <b/>
        <sz val="5"/>
        <rFont val="Arial"/>
        <family val="2"/>
      </rPr>
      <t>OE</t>
    </r>
    <r>
      <rPr>
        <sz val="5"/>
        <rFont val="Arial"/>
        <family val="2"/>
      </rPr>
      <t xml:space="preserve">/ provoz 2530,81667+man 90,118+opatr 8,989 </t>
    </r>
    <r>
      <rPr>
        <b/>
        <sz val="5"/>
        <rFont val="Arial"/>
        <family val="2"/>
      </rPr>
      <t>OMH</t>
    </r>
    <r>
      <rPr>
        <sz val="5"/>
        <rFont val="Arial"/>
        <family val="2"/>
      </rPr>
      <t xml:space="preserve">/136,23356; poj 18,321 </t>
    </r>
    <r>
      <rPr>
        <b/>
        <sz val="5"/>
        <rFont val="Arial"/>
        <family val="2"/>
      </rPr>
      <t>OS</t>
    </r>
    <r>
      <rPr>
        <sz val="5"/>
        <rFont val="Arial"/>
        <family val="2"/>
      </rPr>
      <t xml:space="preserve">/1,93724 </t>
    </r>
    <r>
      <rPr>
        <b/>
        <sz val="5"/>
        <rFont val="Arial"/>
        <family val="2"/>
      </rPr>
      <t>OVDŽP</t>
    </r>
    <r>
      <rPr>
        <sz val="5"/>
        <rFont val="Arial"/>
        <family val="2"/>
      </rPr>
      <t xml:space="preserve">/ 11,425=škol 4,446+3,825+ovzd 2,904;tlf 0,25 </t>
    </r>
    <r>
      <rPr>
        <b/>
        <sz val="5"/>
        <rFont val="Arial"/>
        <family val="2"/>
      </rPr>
      <t>910</t>
    </r>
    <r>
      <rPr>
        <sz val="5"/>
        <rFont val="Arial"/>
        <family val="2"/>
      </rPr>
      <t>/ 435,94068</t>
    </r>
  </si>
  <si>
    <t>platy 790.635+ZP 71.157+SP 197.659+Koop 3.321 opr.rozdělení: 252.101+22.689+63.025+1.059</t>
  </si>
  <si>
    <t>platy 1.015.166+ZP 91.365+SP 253.792+Koop 4.264 ; 753.315+ZP 67.798+SP 188.329+Koop 3.164 opr.rozdělení 261.851+65.463+23.567+1.120</t>
  </si>
  <si>
    <t>FV</t>
  </si>
  <si>
    <t>opr IFA 22,684+motor lodní 5,348; PHM 15,97287;ref.mzdy 11,482;cest 1,804 převod na UZ -114,1045</t>
  </si>
  <si>
    <t>čerp. účel 55,837</t>
  </si>
  <si>
    <t>čerp. účel 098/ 381,5</t>
  </si>
  <si>
    <t>čerp. účel 098/ 10,0</t>
  </si>
  <si>
    <t>Záj 29,85+13,02+výběr 16,94; čaje 11,898; DPS údržba 8,153</t>
  </si>
  <si>
    <t>Klub ProxSov vzt 0,542 ZŠ 6,5 hřiště 35,3</t>
  </si>
  <si>
    <t>PO ZŠ účel.dot 698,0</t>
  </si>
  <si>
    <t>čerpání účel: tlf tablety v autech 0,3388; účel: 34,27+31,02223+45,151+2,66128</t>
  </si>
  <si>
    <r>
      <t xml:space="preserve">teplo -25,76435+zál 63,5;výměna čerp 48,87505;el.en 42,225;zabezp 0,00121; </t>
    </r>
    <r>
      <rPr>
        <b/>
        <sz val="7"/>
        <rFont val="Arial"/>
        <family val="2"/>
      </rPr>
      <t>příst:</t>
    </r>
    <r>
      <rPr>
        <sz val="7"/>
        <rFont val="Arial"/>
        <family val="2"/>
      </rPr>
      <t xml:space="preserve"> autor 19,36+BOZP 18,15+AREN 1105,05969; </t>
    </r>
    <r>
      <rPr>
        <b/>
        <sz val="7"/>
        <rFont val="Arial"/>
        <family val="2"/>
      </rPr>
      <t>zatepl.dílen</t>
    </r>
    <r>
      <rPr>
        <sz val="7"/>
        <rFont val="Arial"/>
        <family val="2"/>
      </rPr>
      <t xml:space="preserve"> aLEGRA 342,067</t>
    </r>
  </si>
  <si>
    <t>PěPé 5038/ 0,759 !! Oprava v 6/2017</t>
  </si>
  <si>
    <t xml:space="preserve">  zájezdy 16,8+13,05; čaj 6,0; tísn -31,75; květiny 2,639 UZ 098 -58,688  ? 11,063 -25,915 19,69 zájezd chybně 13,02</t>
  </si>
  <si>
    <t>VDD 22,5 na UZ 098 -41,756,6; KrálPrův 237,29+4; Neck 11,88;Bl banery 1,35937 Biot:0,988</t>
  </si>
  <si>
    <r>
      <t xml:space="preserve">odm.zast 245,44; </t>
    </r>
    <r>
      <rPr>
        <b/>
        <sz val="8"/>
        <rFont val="Arial"/>
        <family val="2"/>
      </rPr>
      <t>910</t>
    </r>
    <r>
      <rPr>
        <sz val="7"/>
        <rFont val="Arial"/>
        <family val="2"/>
      </rPr>
      <t>/4,385; ostraha 81,6</t>
    </r>
  </si>
  <si>
    <r>
      <t>? 135.456,9 ? KÚ:</t>
    </r>
    <r>
      <rPr>
        <sz val="7"/>
        <rFont val="Arial"/>
        <family val="2"/>
      </rPr>
      <t xml:space="preserve">44,7059; </t>
    </r>
    <r>
      <rPr>
        <b/>
        <sz val="8"/>
        <rFont val="Arial"/>
        <family val="2"/>
      </rPr>
      <t>NP16</t>
    </r>
    <r>
      <rPr>
        <sz val="7"/>
        <rFont val="Arial"/>
        <family val="2"/>
      </rPr>
      <t xml:space="preserve">/70,0813 </t>
    </r>
    <r>
      <rPr>
        <b/>
        <sz val="8"/>
        <rFont val="Arial"/>
        <family val="2"/>
      </rPr>
      <t>OOS</t>
    </r>
    <r>
      <rPr>
        <sz val="7"/>
        <rFont val="Arial"/>
        <family val="2"/>
      </rPr>
      <t xml:space="preserve">/ 9,734;SvS 2,674 </t>
    </r>
    <r>
      <rPr>
        <b/>
        <sz val="8"/>
        <rFont val="Arial"/>
        <family val="2"/>
      </rPr>
      <t>OE</t>
    </r>
    <r>
      <rPr>
        <sz val="7"/>
        <rFont val="Arial"/>
        <family val="2"/>
      </rPr>
      <t xml:space="preserve">/ 2622,8581 </t>
    </r>
    <r>
      <rPr>
        <b/>
        <sz val="8"/>
        <rFont val="Arial"/>
        <family val="2"/>
      </rPr>
      <t xml:space="preserve">manuál </t>
    </r>
    <r>
      <rPr>
        <sz val="7"/>
        <rFont val="Arial"/>
        <family val="2"/>
      </rPr>
      <t xml:space="preserve">/31,31 </t>
    </r>
    <r>
      <rPr>
        <b/>
        <sz val="8"/>
        <rFont val="Arial"/>
        <family val="2"/>
      </rPr>
      <t>Opatr</t>
    </r>
    <r>
      <rPr>
        <sz val="7"/>
        <rFont val="Arial"/>
        <family val="2"/>
      </rPr>
      <t xml:space="preserve"> 9,103;,</t>
    </r>
    <r>
      <rPr>
        <b/>
        <sz val="8"/>
        <rFont val="Arial"/>
        <family val="2"/>
      </rPr>
      <t>KomVýb</t>
    </r>
    <r>
      <rPr>
        <sz val="7"/>
        <rFont val="Arial"/>
        <family val="2"/>
      </rPr>
      <t xml:space="preserve"> 2,4+41,9 </t>
    </r>
    <r>
      <rPr>
        <b/>
        <sz val="8"/>
        <rFont val="Arial"/>
        <family val="2"/>
      </rPr>
      <t>OMH</t>
    </r>
    <r>
      <rPr>
        <sz val="7"/>
        <rFont val="Arial"/>
        <family val="2"/>
      </rPr>
      <t xml:space="preserve"> 277,9631 </t>
    </r>
    <r>
      <rPr>
        <b/>
        <sz val="8"/>
        <rFont val="Arial"/>
        <family val="2"/>
      </rPr>
      <t>poj</t>
    </r>
    <r>
      <rPr>
        <sz val="7"/>
        <rFont val="Arial"/>
        <family val="2"/>
      </rPr>
      <t xml:space="preserve">/ 125,713 </t>
    </r>
    <r>
      <rPr>
        <b/>
        <sz val="8"/>
        <rFont val="Arial"/>
        <family val="2"/>
      </rPr>
      <t>OS</t>
    </r>
    <r>
      <rPr>
        <sz val="7"/>
        <rFont val="Arial"/>
        <family val="2"/>
      </rPr>
      <t xml:space="preserve">/ 1,7728 </t>
    </r>
    <r>
      <rPr>
        <b/>
        <sz val="8"/>
        <rFont val="Arial"/>
        <family val="2"/>
      </rPr>
      <t>OVDZP</t>
    </r>
    <r>
      <rPr>
        <sz val="7"/>
        <rFont val="Arial"/>
        <family val="2"/>
      </rPr>
      <t xml:space="preserve">/ 5,394 </t>
    </r>
    <r>
      <rPr>
        <b/>
        <sz val="8"/>
        <rFont val="Arial"/>
        <family val="2"/>
      </rPr>
      <t>OŽ</t>
    </r>
    <r>
      <rPr>
        <sz val="7"/>
        <rFont val="Arial"/>
        <family val="2"/>
      </rPr>
      <t xml:space="preserve">/ 0,36 </t>
    </r>
    <r>
      <rPr>
        <b/>
        <sz val="8"/>
        <rFont val="Arial"/>
        <family val="2"/>
      </rPr>
      <t>910</t>
    </r>
    <r>
      <rPr>
        <sz val="7"/>
        <rFont val="Arial"/>
        <family val="2"/>
      </rPr>
      <t>/ 336,55416</t>
    </r>
  </si>
  <si>
    <r>
      <t>21</t>
    </r>
    <r>
      <rPr>
        <sz val="7"/>
        <rFont val="Arial"/>
        <family val="2"/>
      </rPr>
      <t xml:space="preserve">/ 29,46177 (ploš 1,222;derat 1,15;teplo 17,56577; rohož 0,323;el.en 9,2) </t>
    </r>
    <r>
      <rPr>
        <b/>
        <sz val="8"/>
        <rFont val="Arial"/>
        <family val="2"/>
      </rPr>
      <t>23</t>
    </r>
    <r>
      <rPr>
        <sz val="7"/>
        <rFont val="Arial"/>
        <family val="2"/>
      </rPr>
      <t xml:space="preserve">/ 20,99568 (derat 0,7;teplo 5,05168;rohož 0,465;elen 11,8;zámek 2,977) </t>
    </r>
    <r>
      <rPr>
        <b/>
        <sz val="8"/>
        <rFont val="Arial"/>
        <family val="2"/>
      </rPr>
      <t>732</t>
    </r>
    <r>
      <rPr>
        <sz val="7"/>
        <rFont val="Arial"/>
        <family val="2"/>
      </rPr>
      <t xml:space="preserve">/ 14,66997 (derat 0,4;čišt kob 5,325 teplo 5,04797 roh 0,116 el.en 3,8) </t>
    </r>
    <r>
      <rPr>
        <b/>
        <sz val="8"/>
        <rFont val="Arial"/>
        <family val="2"/>
      </rPr>
      <t>1600</t>
    </r>
    <r>
      <rPr>
        <sz val="7"/>
        <rFont val="Arial"/>
        <family val="2"/>
      </rPr>
      <t>/4,9082 (el,en 1;el.rev 3,9082)</t>
    </r>
  </si>
  <si>
    <t>KrálPrův 247,821 Biotop otevř 77,44 Neck 13,731 VRR report 6,655 VDD 89,890</t>
  </si>
  <si>
    <r>
      <t xml:space="preserve">oper.syst 452,4916; servery Dell 345,927 </t>
    </r>
    <r>
      <rPr>
        <b/>
        <sz val="8"/>
        <rFont val="Arial"/>
        <family val="2"/>
      </rPr>
      <t xml:space="preserve">čp 732 </t>
    </r>
    <r>
      <rPr>
        <sz val="8"/>
        <rFont val="Arial"/>
        <family val="2"/>
      </rPr>
      <t>žaluzie 38,955+okna 224,635</t>
    </r>
  </si>
  <si>
    <r>
      <t>3612</t>
    </r>
    <r>
      <rPr>
        <sz val="7"/>
        <rFont val="Arial"/>
        <family val="2"/>
      </rPr>
      <t xml:space="preserve">/0,599+0,00121; </t>
    </r>
    <r>
      <rPr>
        <b/>
        <sz val="8"/>
        <rFont val="Arial"/>
        <family val="2"/>
      </rPr>
      <t>kostel</t>
    </r>
    <r>
      <rPr>
        <sz val="7"/>
        <rFont val="Arial"/>
        <family val="2"/>
      </rPr>
      <t xml:space="preserve"> el.en 1,5 </t>
    </r>
    <r>
      <rPr>
        <b/>
        <sz val="8"/>
        <rFont val="Arial"/>
        <family val="2"/>
      </rPr>
      <t>NZZ</t>
    </r>
    <r>
      <rPr>
        <sz val="7"/>
        <rFont val="Arial"/>
        <family val="2"/>
      </rPr>
      <t xml:space="preserve"> rohože 0,501; </t>
    </r>
    <r>
      <rPr>
        <b/>
        <sz val="8"/>
        <rFont val="Arial"/>
        <family val="2"/>
      </rPr>
      <t>1379</t>
    </r>
    <r>
      <rPr>
        <sz val="7"/>
        <rFont val="Arial"/>
        <family val="2"/>
      </rPr>
      <t xml:space="preserve">/ derat 0,4; </t>
    </r>
    <r>
      <rPr>
        <b/>
        <sz val="8"/>
        <rFont val="Arial"/>
        <family val="2"/>
      </rPr>
      <t>1517</t>
    </r>
    <r>
      <rPr>
        <sz val="7"/>
        <rFont val="Arial"/>
        <family val="2"/>
      </rPr>
      <t xml:space="preserve">/rohož 0,501+0,116 </t>
    </r>
    <r>
      <rPr>
        <b/>
        <sz val="8"/>
        <rFont val="Arial"/>
        <family val="2"/>
      </rPr>
      <t>Biotop</t>
    </r>
    <r>
      <rPr>
        <sz val="7"/>
        <rFont val="Arial"/>
        <family val="2"/>
      </rPr>
      <t xml:space="preserve"> voda 13,07</t>
    </r>
  </si>
  <si>
    <t>obrat 7/2017</t>
  </si>
  <si>
    <t>přísp PO 7./12 415</t>
  </si>
  <si>
    <t>Koruna zast.studie 66,55</t>
  </si>
  <si>
    <t>Renards dot 11,495; Albet 508,617</t>
  </si>
  <si>
    <t>Dipro proj.dok 120,0925</t>
  </si>
  <si>
    <t>rez.park PD 14,157; zpomal.práh 1148,885</t>
  </si>
  <si>
    <t>zábr.schody Prvom 9; VO 2,352+0,542 +0,941;nerekl.na sloupech 2,8095+0,9365 pomník;sloupky 43,56;schody Karl 779,80379; ELMOB: ČEZ 3,267; opr.kabelu Vráž 20,1828; ParkD pol.rozp 38,72</t>
  </si>
  <si>
    <t>04/ ZŠ UZ 33163</t>
  </si>
  <si>
    <t>04/ Šablony MŠMT</t>
  </si>
  <si>
    <t>,</t>
  </si>
  <si>
    <t>04/ Prev.soc. MŠMT</t>
  </si>
  <si>
    <t>teplo 8,39132</t>
  </si>
  <si>
    <t>klub VZT 0,542</t>
  </si>
  <si>
    <t xml:space="preserve"> aula zadav 16,94;</t>
  </si>
  <si>
    <t>teplo 29,72618;plot 121;ventil 6,9; příst OPPR 639,698+BOZP 7,26;</t>
  </si>
  <si>
    <t>PS 22,71 DPS 1,5;NDPS 4</t>
  </si>
  <si>
    <t>PS 66,542 NDPS 7</t>
  </si>
  <si>
    <t xml:space="preserve"> (1589+1260)x15</t>
  </si>
  <si>
    <t>PS 378,23302; fyziot 3,788</t>
  </si>
  <si>
    <t>čerp UZ 081 tlf DPS -1,5 NDPS -4; DPS 1,45847;NDPS -0,98308 tlf oprava; OMH 6,745</t>
  </si>
  <si>
    <t>douč 2,6</t>
  </si>
  <si>
    <t>mzdy 1-6/2017 214,017; cest 2,737</t>
  </si>
  <si>
    <t>zájezd !! 15,6;bal 3,75</t>
  </si>
  <si>
    <t>provoz 147,63958 v tom akum.bat 23,958; VDD 1,027; teplo 3,32442; VZT 0,567</t>
  </si>
  <si>
    <t>provoz 184,102; OMH: výtah 1,6335; teplo 2,59744</t>
  </si>
  <si>
    <t>Neck 0,84; Biotop 0,6</t>
  </si>
  <si>
    <t>DH U Ondř pyramida 73,786+2,045; oploc 47,93972</t>
  </si>
  <si>
    <t>provoz 225,94071</t>
  </si>
  <si>
    <t>aut 0,451; PHM 3,58758+0,61186; SMS 0,363;tlf 0,599;pěnidlo 44,47</t>
  </si>
  <si>
    <t>přísp PO 7./12 665; opr.kotle 1,743</t>
  </si>
  <si>
    <t>přísp (jako Grant) 20</t>
  </si>
  <si>
    <t>mzda 12,789</t>
  </si>
  <si>
    <t>tlf 3612/z BH +0,599-1,797+0,00121-0,00363;NZZ rohože 0,501; čp.5 0,48;1517/ čišt.kan 5,428;roh 0,501;SON roh 0,192;Biotop přefa -13,072</t>
  </si>
  <si>
    <t>report KrPr 6,655 Neck 6,655; VDD 0,1</t>
  </si>
  <si>
    <r>
      <t>02/ Kanalizace Šárovo kolo</t>
    </r>
    <r>
      <rPr>
        <sz val="7"/>
        <rFont val="Arial"/>
        <family val="2"/>
      </rPr>
      <t xml:space="preserve"> ponech z 2016</t>
    </r>
  </si>
  <si>
    <r>
      <t xml:space="preserve">04/ 3113 ZŠ MAP </t>
    </r>
    <r>
      <rPr>
        <sz val="7"/>
        <rFont val="Arial"/>
        <family val="2"/>
      </rPr>
      <t>UZ 33063</t>
    </r>
  </si>
  <si>
    <t>Kerio ÚMČ 70,124; knihovna 45,595</t>
  </si>
  <si>
    <t>1144,782 ZP 101,52 SP 282 pov.poj 4,738  6/6*-(8791164+56894+2311531+832090+53103+3/3*442609) +7/7*(11403807+76643+2997433+1079018+3/3*567600)=3.637.110</t>
  </si>
  <si>
    <t>mzda 52,388 - převedeno na UZ 33015 celkem 167,021</t>
  </si>
  <si>
    <t>platy 1.433,03 SP 358,257 ZP 128,973 pov.poj 6,019</t>
  </si>
  <si>
    <t>1/12 HMP dot 3.437</t>
  </si>
  <si>
    <t>odm.zast 355,518+SP 71,577+ZP 32,001+pov.poj 2,403; repre 1,377+1,012;secur 81,6;služby 0,797+0,717</t>
  </si>
  <si>
    <r>
      <t>21/ 23</t>
    </r>
    <r>
      <rPr>
        <sz val="8"/>
        <rFont val="Arial"/>
        <family val="2"/>
      </rPr>
      <t xml:space="preserve">/sáčky vys 2x0,785,29;rohože 0,323+0,801;teplo 8,702+3,2465 </t>
    </r>
    <r>
      <rPr>
        <b/>
        <sz val="8"/>
        <rFont val="Arial"/>
        <family val="2"/>
      </rPr>
      <t>732</t>
    </r>
    <r>
      <rPr>
        <sz val="8"/>
        <rFont val="Arial"/>
        <family val="2"/>
      </rPr>
      <t>/ opr WC 1,203 čišt.kan 20,5882;roh 0,192;ÚP -37,25;teplo 3,12225</t>
    </r>
  </si>
  <si>
    <r>
      <t xml:space="preserve">04/ školství 3113 org </t>
    </r>
    <r>
      <rPr>
        <sz val="7"/>
        <rFont val="Arial"/>
        <family val="2"/>
      </rPr>
      <t>4329/3252,00  3113/6500,00 3412/35300,00</t>
    </r>
  </si>
  <si>
    <t>škol.pěst 12,6; mzd.výd 87,047;škol 0,32;cest-1,66</t>
  </si>
  <si>
    <r>
      <t>04/ ZŠ Šablony MŠMT</t>
    </r>
    <r>
      <rPr>
        <sz val="7"/>
        <rFont val="Arial"/>
        <family val="2"/>
      </rPr>
      <t xml:space="preserve"> UZ 33063</t>
    </r>
  </si>
  <si>
    <r>
      <t>04/ ZŠ Prev.soc-patol.jevů</t>
    </r>
    <r>
      <rPr>
        <sz val="7"/>
        <rFont val="Arial"/>
        <family val="2"/>
      </rPr>
      <t xml:space="preserve"> UZ 33122</t>
    </r>
  </si>
  <si>
    <t>obrat 8/2017</t>
  </si>
  <si>
    <t>zást C zaměř 24,2</t>
  </si>
  <si>
    <t>přísp SbDv TS 415</t>
  </si>
  <si>
    <t>204/Renards 11,495</t>
  </si>
  <si>
    <t>kácení 12+34</t>
  </si>
  <si>
    <t>měřič Karl.mont.stož60,3548</t>
  </si>
  <si>
    <t>sloupky 22,206 Vinohr PD 72,6 Font PD 7 VO 2,352+0,542 +0,941</t>
  </si>
  <si>
    <t>teplo 1,55576</t>
  </si>
  <si>
    <t>IV/kanal 7,623+22,788</t>
  </si>
  <si>
    <t>ProxSoc VZT 0,542</t>
  </si>
  <si>
    <t>AULA:Aragon 21,175 NÁST.SBOR: Xedos 131,452</t>
  </si>
  <si>
    <t>CZCon výběr dodav 110,11+5,8898</t>
  </si>
  <si>
    <t>Skatepark 18,029+35,03 opravy 45,935</t>
  </si>
  <si>
    <t>převod PO ZŠ</t>
  </si>
  <si>
    <t>OON 74,1 SP 10,023 ZP 3,609 pov.poj 0,506 (I.+II.Q UZ)</t>
  </si>
  <si>
    <t>přísp Grant 10,0</t>
  </si>
  <si>
    <t xml:space="preserve"> (1147+965)x15</t>
  </si>
  <si>
    <t>provoz 171,42149;fyziot 3,788-11,292 EČ</t>
  </si>
  <si>
    <t>DPS 1,29065 NDPS 2,16259+VZT 1,317 elrev 1,149+5,288;0510/bat.do EPH 4,917</t>
  </si>
  <si>
    <t>platy 85,613+21,404+7,710+0,362; tlf 3,02606 škol 2,38 ŠVP.LDT 3+3,7+2,5</t>
  </si>
  <si>
    <t>PS 107,0884</t>
  </si>
  <si>
    <t>mater 0,348</t>
  </si>
  <si>
    <t>mater 0,567</t>
  </si>
  <si>
    <t>spl. 8x2,0+1,3</t>
  </si>
  <si>
    <t>mzdy 89,363-EČ 201,21; provoz 38,38343</t>
  </si>
  <si>
    <t>mzdy 141,062 provoz 50,8598</t>
  </si>
  <si>
    <t>3326 pomníky, pohřebiště</t>
  </si>
  <si>
    <t>3341 veřejný rozhlas</t>
  </si>
  <si>
    <t>MěRo + ústředna 30,855</t>
  </si>
  <si>
    <t>vál.hroby opravy 33,275</t>
  </si>
  <si>
    <t>mzdy 113,418 -EČ 134,158; provoz 28,11047; čidlo,baterie EZS 1,91</t>
  </si>
  <si>
    <t xml:space="preserve">  5512 doplatek CAS</t>
  </si>
  <si>
    <t>tablety v autech 0,3388</t>
  </si>
  <si>
    <t>3xvodní vysavač</t>
  </si>
  <si>
    <t>přísp PO 8./12 665; napuštění syst ÚT 13,044</t>
  </si>
  <si>
    <r>
      <t xml:space="preserve">PěPé 85,707; SPOD 219,781; SocPr 216,754; Map 88,238; ? 42,90071  </t>
    </r>
    <r>
      <rPr>
        <b/>
        <sz val="6"/>
        <rFont val="Arial"/>
        <family val="2"/>
      </rPr>
      <t>KÚ</t>
    </r>
    <r>
      <rPr>
        <sz val="6"/>
        <rFont val="Arial"/>
        <family val="2"/>
      </rPr>
      <t>: 48,69847 (ÚřZd 2,5;beach 10,56;web 0,478;tlf -1,80063+10,74101+5,96134+3,013+0,599 +11,58403; Radium 3,8615 ? 1,20122</t>
    </r>
    <r>
      <rPr>
        <b/>
        <sz val="6"/>
        <rFont val="Arial"/>
        <family val="2"/>
      </rPr>
      <t xml:space="preserve"> OOS: </t>
    </r>
    <r>
      <rPr>
        <sz val="6"/>
        <rFont val="Arial"/>
        <family val="2"/>
      </rPr>
      <t xml:space="preserve">62,18471 (TZ 7,68471;SvS 4,5;FS 50) </t>
    </r>
    <r>
      <rPr>
        <b/>
        <sz val="6"/>
        <rFont val="Arial"/>
        <family val="2"/>
      </rPr>
      <t>OE</t>
    </r>
    <r>
      <rPr>
        <sz val="6"/>
        <rFont val="Arial"/>
        <family val="2"/>
      </rPr>
      <t xml:space="preserve">: 4030,7948 (VýbKom 4,12;opatr 12,789;odečet mezd 154,232) </t>
    </r>
    <r>
      <rPr>
        <b/>
        <sz val="6"/>
        <rFont val="Arial"/>
        <family val="2"/>
      </rPr>
      <t>OMH</t>
    </r>
    <r>
      <rPr>
        <sz val="6"/>
        <rFont val="Arial"/>
        <family val="2"/>
      </rPr>
      <t xml:space="preserve">: 128,02608 (kanc 27,685+63,807+1,203+6,293+6,668+3,34224;aut 0,922+1,004;PHM 9,22584;skart 23,786;ČR+ČT 2x1,62;ÚP -20,75;tlf 0,25+0,2+0,15;? 1;24,9) </t>
    </r>
    <r>
      <rPr>
        <b/>
        <sz val="6"/>
        <rFont val="Arial"/>
        <family val="2"/>
      </rPr>
      <t xml:space="preserve">OS: </t>
    </r>
    <r>
      <rPr>
        <sz val="6"/>
        <rFont val="Arial"/>
        <family val="2"/>
      </rPr>
      <t xml:space="preserve">-1,568,29 (tlf 0,09171 cest -1,66) </t>
    </r>
    <r>
      <rPr>
        <b/>
        <sz val="6"/>
        <rFont val="Arial"/>
        <family val="2"/>
      </rPr>
      <t>OVDŽP:</t>
    </r>
    <r>
      <rPr>
        <sz val="6"/>
        <rFont val="Arial"/>
        <family val="2"/>
      </rPr>
      <t xml:space="preserve"> 16,15545 (St+Vd Ú 15,90545;tlf 0,25) </t>
    </r>
    <r>
      <rPr>
        <b/>
        <sz val="6"/>
        <rFont val="Arial"/>
        <family val="2"/>
      </rPr>
      <t>Far</t>
    </r>
    <r>
      <rPr>
        <sz val="6"/>
        <rFont val="Arial"/>
        <family val="2"/>
      </rPr>
      <t>:  727,64849 (SMS 0,59597+0,59648;právn 47,94504;Mobis 0,242;GSM 20,126;IT vyb 7,981+9,576+41,026; COMES 159,962;Publix 13,068+5,082;el.podp 0,396;demont na 1165/1,053;Kerio ÚMČ 70,124+MK 45,595) -332,086</t>
    </r>
  </si>
  <si>
    <t>TS blesk 93,779+60,614+58,807=213,2; poz 194,81; UPC 80,161 Centrum 23,56; 732/24,2</t>
  </si>
  <si>
    <t>I.Radová 17,04+1,2</t>
  </si>
  <si>
    <t>čerp účel 3/ 104,714; 5/ 14,01442</t>
  </si>
  <si>
    <t>čerp účel 1/ 3,319253/ 32,239; 5/ 14,01442; 5/ 0,36</t>
  </si>
  <si>
    <t>odm.zast 176,865+SP 31,813+ZP 15,92; repre 1,182;secur 84,32</t>
  </si>
  <si>
    <t>mzdy 9,287</t>
  </si>
  <si>
    <t>tlf 3612/0,599+0,00121 kostel elen 7,161 NZZ+1517/ roh 2x0,501+0,192 5/elen 0,105 kluz/voda 0,45 2105/elen 1,076 Biot/voda 13,07</t>
  </si>
  <si>
    <t>vybav 2,93+0,6 SMS 0,363 mater 3,947+0,994 PHM 2,15439+2,26058 tlf 0,599 aut 0,451</t>
  </si>
  <si>
    <t>1032618x(1+0,09+0,25+0,0042*0)</t>
  </si>
  <si>
    <t>814,603x(1+0,09+0,25+0,0042)-BH 3612/ 399,203+35,956+99,782-EČ 9021/287,95+32,184+26,965+74,857</t>
  </si>
  <si>
    <t xml:space="preserve"> 4137 dotace stát:</t>
  </si>
  <si>
    <t xml:space="preserve"> 2141 úroky</t>
  </si>
  <si>
    <t>tisk 2,159 bal 3,75</t>
  </si>
  <si>
    <r>
      <t xml:space="preserve">09/ 6171 SPOD výkon agendy 1537,3 + 636,7 </t>
    </r>
    <r>
      <rPr>
        <strike/>
        <sz val="8"/>
        <rFont val="Arial"/>
        <family val="2"/>
      </rPr>
      <t>2x997,5</t>
    </r>
  </si>
  <si>
    <t>05/ 4329 SPOD výkon agendy</t>
  </si>
  <si>
    <t>opravy kom 253,884+33,677+35,172 hradidl.kom 190,333;zpomal.práh 209,57684</t>
  </si>
  <si>
    <t>podp.plyn.potr 4,75;voda 76,95;teplo 10,3011;el 37,576;tlf 0,02481;plot 156,92369+183,671 příst 1045,884+19,36 +62,92</t>
  </si>
  <si>
    <t>obrat 9/2017</t>
  </si>
  <si>
    <t>09/ Volby prezident</t>
  </si>
  <si>
    <t>09/ MVn</t>
  </si>
  <si>
    <t>1356 popl. dobývaný prostor 2017</t>
  </si>
  <si>
    <t>UR ZMČ 25/09</t>
  </si>
  <si>
    <t>04/ Fitparky</t>
  </si>
  <si>
    <t xml:space="preserve">04/ ZŠ Pól růstu </t>
  </si>
  <si>
    <t>Pól růstu</t>
  </si>
  <si>
    <r>
      <t>21</t>
    </r>
    <r>
      <rPr>
        <sz val="6"/>
        <rFont val="Arial"/>
        <family val="2"/>
      </rPr>
      <t xml:space="preserve">/el.en 88,204; voda 17,85;teplo 8,702;rohože 0,323;Font 0,8025 </t>
    </r>
    <r>
      <rPr>
        <b/>
        <sz val="6"/>
        <rFont val="Arial"/>
        <family val="2"/>
      </rPr>
      <t>23</t>
    </r>
    <r>
      <rPr>
        <sz val="6"/>
        <rFont val="Arial"/>
        <family val="2"/>
      </rPr>
      <t xml:space="preserve">/el.en 68,130 voda 5,92 teplo 3,2465 roh 0,801 GSM 4,299  Font 0,068 </t>
    </r>
    <r>
      <rPr>
        <b/>
        <sz val="6"/>
        <rFont val="Arial"/>
        <family val="2"/>
      </rPr>
      <t>732</t>
    </r>
    <r>
      <rPr>
        <sz val="6"/>
        <rFont val="Arial"/>
        <family val="2"/>
      </rPr>
      <t xml:space="preserve">/ voda 2,23 teplo 3,12225 el.en 31,05 elrev 20,842+opr 11,627 roh 0,192 Font 0,8045 </t>
    </r>
    <r>
      <rPr>
        <b/>
        <sz val="6"/>
        <rFont val="Arial"/>
        <family val="2"/>
      </rPr>
      <t>1600</t>
    </r>
    <r>
      <rPr>
        <sz val="6"/>
        <rFont val="Arial"/>
        <family val="2"/>
      </rPr>
      <t>/ el.en 12,245</t>
    </r>
  </si>
  <si>
    <t>Centrum Koruna ověř.stud 179,08+135,52+212,96+154,88</t>
  </si>
  <si>
    <t>derat.kanalizace 4,4</t>
  </si>
  <si>
    <t>posudek jasany 14,52;Karl vlečka osáz 97,941</t>
  </si>
  <si>
    <t>opravy kom III.et 76,243</t>
  </si>
  <si>
    <t>Inv do oprav +/-91,0126;VO 2,352+0,542 +0,941; Font el.en 0,1; KarlXU st.st 278,10843+45+179,60371+16,94;Vinohr PD 75,02;ParkD PD 408,98+0,3</t>
  </si>
  <si>
    <t>přísp PO 3./4 540</t>
  </si>
  <si>
    <t>1368 opr.zpevn.ploch PD 14,7;III/radiát.vent 112,259;bet.st. 6,7</t>
  </si>
  <si>
    <t>přísp PO 3./1.275</t>
  </si>
  <si>
    <t>přísp PO 3./360; teplo 2,0145</t>
  </si>
  <si>
    <t>voda z BH Andr -6,863;teplo 35,32118;el.en. 9,556;oběh.čerp 0,968</t>
  </si>
  <si>
    <t>SkateP opr 129,385;Za hřbit terén 40,41763</t>
  </si>
  <si>
    <t>Klub:VZT 1,742; Krej 1,291</t>
  </si>
  <si>
    <t>Albet 637,32152; Aragon 42,35</t>
  </si>
  <si>
    <t>zadav 34,485</t>
  </si>
  <si>
    <t>škol ČerJ 1,2 mzd 24,373+6,094+2,195+0,103</t>
  </si>
  <si>
    <t>DD 0,1+0,359;konf 2,5;přísp.fotb 3;zpr 0,332</t>
  </si>
  <si>
    <t>tlf 0,13502; mzd 106,363+26,043+9,38 +0,431;škol.řid 0,12;škol 1,49;P+R 0,9295+liter 3,392</t>
  </si>
  <si>
    <r>
      <t>05/ 4339 pěstounská péče</t>
    </r>
    <r>
      <rPr>
        <sz val="9"/>
        <rFont val="Arial"/>
        <family val="2"/>
      </rPr>
      <t xml:space="preserve"> UZ 13010</t>
    </r>
  </si>
  <si>
    <r>
      <t>05/ 4351 PS sociální sl</t>
    </r>
    <r>
      <rPr>
        <sz val="9"/>
        <rFont val="Arial"/>
        <family val="2"/>
      </rPr>
      <t xml:space="preserve"> UZ 13305</t>
    </r>
  </si>
  <si>
    <r>
      <t>04/ 3113 ZŠ přístavba</t>
    </r>
    <r>
      <rPr>
        <sz val="7"/>
        <rFont val="Arial"/>
        <family val="2"/>
      </rPr>
      <t xml:space="preserve"> UZ 108100104</t>
    </r>
  </si>
  <si>
    <t>BOMART 556,6</t>
  </si>
  <si>
    <t>tlf 0,3388</t>
  </si>
  <si>
    <t>mzd 51,253+12,813+4,616+0,216 LDT 3,2+2,99+adapt 2,2;předpl 0,9295</t>
  </si>
  <si>
    <t>mzd 145,393+36,348+13,085</t>
  </si>
  <si>
    <t>tísň 33-31,5;květ 2,96</t>
  </si>
  <si>
    <t xml:space="preserve"> (1596+1261)x15,00</t>
  </si>
  <si>
    <t>provoz 374,06418;fyziot 3,752;2016/voda 9,438;teplo 119,229;el 55,004;serv.vozu 2,378;34/0,52; 39/0,258;Zajíc 1,162;PHM 720968;69/3,203;39/7,8985;69/0,05;sled 0,3605;tlf 0,599+0,3</t>
  </si>
  <si>
    <t>DPS tlf 1,01814;roh 0,192;NDPS tlf 1,67675+0,042;roh 0,635;VZT 1,317</t>
  </si>
  <si>
    <t>provoz 87,0747 OMH 6,39142 IT 0,53</t>
  </si>
  <si>
    <t>BB 201,94 BL 1,0 HavP 1,44</t>
  </si>
  <si>
    <t>provoz 155,516 OMH 7,80157</t>
  </si>
  <si>
    <t>provoz 157,43132 OMH 198,586 (VZT 1,908;roh 0,386;ploš 1,222;voda 7,116;teplo 131,252;el 46,276)</t>
  </si>
  <si>
    <t>účel tlf -0,3388; tlf 0,363+0,599;voda 3,705;teplo 78,198;el 28,822;služ 1,299;PHM 5,48595; poj 1,503 Web 0,171 obuv 12,657 zás.komp 203,135</t>
  </si>
  <si>
    <t>byt v 1065/229,444</t>
  </si>
  <si>
    <t>BB pohošt 0,747+4,134 techn.zab 179,685;květ 1,273</t>
  </si>
  <si>
    <t>732/ 24,2+4,226+97,133</t>
  </si>
  <si>
    <t>zatr.pot 4,0414;kanal.Safír 148,9962</t>
  </si>
  <si>
    <t>1276,236-13010/51,253-13011/106,363-13015/24,373-4137/6,995-3113/(50,34+7*74,1)=518,212*(1+0,09+0,25+0,0042)</t>
  </si>
  <si>
    <t>846,787+50,34+7*74,1=1415,827*(1+0,09+0,25+0,0042);1044,906*(1+0,09+0,25+0,0042)</t>
  </si>
  <si>
    <t>3% příděl 80,043</t>
  </si>
  <si>
    <t>zrušení FRR                                         Povodňový fond MČ</t>
  </si>
  <si>
    <t>odm.zast 192,418+SP 35,702+ZP 17,32; služ 1,2;Čaj o třetí 0,62 květ 0,21+výr 3,122;secur 84,32</t>
  </si>
  <si>
    <r>
      <rPr>
        <b/>
        <sz val="6"/>
        <rFont val="Arial"/>
        <family val="2"/>
      </rPr>
      <t>KÚ</t>
    </r>
    <r>
      <rPr>
        <sz val="6"/>
        <rFont val="Arial"/>
        <family val="2"/>
      </rPr>
      <t xml:space="preserve">/ 20,4198; NP16: 72,87493 </t>
    </r>
    <r>
      <rPr>
        <b/>
        <sz val="6"/>
        <rFont val="Arial"/>
        <family val="2"/>
      </rPr>
      <t>OOS</t>
    </r>
    <r>
      <rPr>
        <sz val="6"/>
        <rFont val="Arial"/>
        <family val="2"/>
      </rPr>
      <t xml:space="preserve">/ květ 0,265+0,87483 TZ 7,68471 tisk 4,15 škol 1,85+2,2x2 EZS 13,938 </t>
    </r>
    <r>
      <rPr>
        <b/>
        <sz val="6"/>
        <rFont val="Arial"/>
        <family val="2"/>
      </rPr>
      <t>OVDŽP</t>
    </r>
    <r>
      <rPr>
        <sz val="6"/>
        <rFont val="Arial"/>
        <family val="2"/>
      </rPr>
      <t xml:space="preserve">/tisk 9,257 škol 1,85+2x1,59 monit 2,904 tlf 0,25  </t>
    </r>
    <r>
      <rPr>
        <b/>
        <sz val="6"/>
        <rFont val="Arial"/>
        <family val="2"/>
      </rPr>
      <t>OŽ/</t>
    </r>
    <r>
      <rPr>
        <sz val="6"/>
        <rFont val="Arial"/>
        <family val="2"/>
      </rPr>
      <t xml:space="preserve"> škol 1,85  +433.681,47 </t>
    </r>
    <r>
      <rPr>
        <b/>
        <sz val="6"/>
        <rFont val="Arial"/>
        <family val="2"/>
      </rPr>
      <t>OE</t>
    </r>
    <r>
      <rPr>
        <sz val="6"/>
        <rFont val="Arial"/>
        <family val="2"/>
      </rPr>
      <t xml:space="preserve">/ 1.697,1123 v tom provoz 109,0033 mzdy 1.414,932 KomVýb 1,72 </t>
    </r>
    <r>
      <rPr>
        <b/>
        <sz val="6"/>
        <rFont val="Arial"/>
        <family val="2"/>
      </rPr>
      <t>OS/</t>
    </r>
    <r>
      <rPr>
        <sz val="6"/>
        <rFont val="Arial"/>
        <family val="2"/>
      </rPr>
      <t xml:space="preserve"> 18,847   </t>
    </r>
    <r>
      <rPr>
        <sz val="7"/>
        <rFont val="Arial"/>
        <family val="2"/>
      </rPr>
      <t>+3108/3108*433681,47-9/9*5920786,78</t>
    </r>
  </si>
  <si>
    <r>
      <rPr>
        <b/>
        <sz val="6"/>
        <rFont val="Arial"/>
        <family val="2"/>
      </rPr>
      <t>1</t>
    </r>
    <r>
      <rPr>
        <sz val="6"/>
        <rFont val="Arial"/>
        <family val="2"/>
      </rPr>
      <t xml:space="preserve">/ 37,15668 dárk.set 3,15;prohl 0,85;tlf 10,53384+12,26134;škol 1,7;Resc 4,8;Burgl 17,8;sled 3,8615;NP16 64,76074 vitam 19,998 </t>
    </r>
    <r>
      <rPr>
        <b/>
        <sz val="6"/>
        <rFont val="Arial"/>
        <family val="2"/>
      </rPr>
      <t>2</t>
    </r>
    <r>
      <rPr>
        <sz val="6"/>
        <rFont val="Arial"/>
        <family val="2"/>
      </rPr>
      <t xml:space="preserve">/ 61,67971 (pošt 50;TZ 7,68471;vít 1,984;přihl 2,541-0,76) SvS 2,904  </t>
    </r>
    <r>
      <rPr>
        <b/>
        <sz val="6"/>
        <rFont val="Arial"/>
        <family val="2"/>
      </rPr>
      <t>3</t>
    </r>
    <r>
      <rPr>
        <sz val="6"/>
        <rFont val="Arial"/>
        <family val="2"/>
      </rPr>
      <t xml:space="preserve">/ provoz 2.568,761+108,05 man;K+V 12,45; </t>
    </r>
    <r>
      <rPr>
        <b/>
        <sz val="6"/>
        <rFont val="Arial"/>
        <family val="2"/>
      </rPr>
      <t>4</t>
    </r>
    <r>
      <rPr>
        <sz val="6"/>
        <rFont val="Arial"/>
        <family val="2"/>
      </rPr>
      <t xml:space="preserve">/provoz 196,53303;poj 124,425 </t>
    </r>
    <r>
      <rPr>
        <b/>
        <sz val="6"/>
        <rFont val="Arial"/>
        <family val="2"/>
      </rPr>
      <t>5</t>
    </r>
    <r>
      <rPr>
        <sz val="6"/>
        <rFont val="Arial"/>
        <family val="2"/>
      </rPr>
      <t xml:space="preserve">/ 8,79602 po odečtu 13011 -11323,50 13015/-1,2;  </t>
    </r>
    <r>
      <rPr>
        <b/>
        <sz val="6"/>
        <rFont val="Arial"/>
        <family val="2"/>
      </rPr>
      <t>6</t>
    </r>
    <r>
      <rPr>
        <sz val="6"/>
        <rFont val="Arial"/>
        <family val="2"/>
      </rPr>
      <t xml:space="preserve">/ Resc 7,2;škol 3,18+2,223+řidič 1,08;tlf 0,3 cest 0,064-0,05 </t>
    </r>
    <r>
      <rPr>
        <b/>
        <sz val="6"/>
        <rFont val="Arial"/>
        <family val="2"/>
      </rPr>
      <t>7</t>
    </r>
    <r>
      <rPr>
        <sz val="6"/>
        <rFont val="Arial"/>
        <family val="2"/>
      </rPr>
      <t>/cest 0,064</t>
    </r>
  </si>
  <si>
    <r>
      <t>21</t>
    </r>
    <r>
      <rPr>
        <sz val="6"/>
        <rFont val="Arial"/>
        <family val="2"/>
      </rPr>
      <t xml:space="preserve">/ ploš 1,222;el 9,2;teplo 8,702;Font 0,053;roh 0,323; </t>
    </r>
    <r>
      <rPr>
        <b/>
        <sz val="6"/>
        <rFont val="Arial"/>
        <family val="2"/>
      </rPr>
      <t>23</t>
    </r>
    <r>
      <rPr>
        <sz val="6"/>
        <rFont val="Arial"/>
        <family val="2"/>
      </rPr>
      <t xml:space="preserve">/Font 1,209;roh 0,801;dveře podat 7,381;el 11,8;teplo 3,2465;sokl 12,432;z 8/4,441 </t>
    </r>
    <r>
      <rPr>
        <b/>
        <sz val="6"/>
        <rFont val="Arial"/>
        <family val="2"/>
      </rPr>
      <t>732</t>
    </r>
    <r>
      <rPr>
        <sz val="6"/>
        <rFont val="Arial"/>
        <family val="2"/>
      </rPr>
      <t xml:space="preserve">/ Font 0,053;roh 0,192;el 3,8;teplo 3,12225 </t>
    </r>
    <r>
      <rPr>
        <b/>
        <sz val="6"/>
        <rFont val="Arial"/>
        <family val="2"/>
      </rPr>
      <t>1600</t>
    </r>
    <r>
      <rPr>
        <sz val="6"/>
        <rFont val="Arial"/>
        <family val="2"/>
      </rPr>
      <t>/zaměř Veiol 19,844 el 1,0</t>
    </r>
  </si>
  <si>
    <r>
      <t xml:space="preserve">tlf 3612/0,599+0,00121 kostel elen 1,5;NZZ roh 0,501;1379/VZT 2,64986;voda 0,085 teplo 32,654 el 1,507;1517/VZT 0,501;roh 0,192;Biot -13,07 </t>
    </r>
    <r>
      <rPr>
        <b/>
        <sz val="6"/>
        <rFont val="Arial"/>
        <family val="2"/>
      </rPr>
      <t>NZZ</t>
    </r>
    <r>
      <rPr>
        <sz val="6"/>
        <rFont val="Arial"/>
        <family val="2"/>
      </rPr>
      <t xml:space="preserve"> 7,086+0,8</t>
    </r>
  </si>
  <si>
    <t>obrat 10/2017</t>
  </si>
  <si>
    <t>02/ SFŽP</t>
  </si>
  <si>
    <t>TS přísp 9-10/2017 830,0</t>
  </si>
  <si>
    <t>zeleň Kolová 48,2; MuŘ udrž. OPPK 7,26</t>
  </si>
  <si>
    <t>hradidl admin 23,595; opr.kom IV 96,54</t>
  </si>
  <si>
    <t>Louč zklidn PD 10,89; nerekl 1,873; VO 2,352+0,542 +0,941;dlažba,koše 38,178;chodn 24,999;znač 30,265+40,966+27,49;ParkD 19,36</t>
  </si>
  <si>
    <t>OON 74,1 SP 10,023 ZP 3,609 pov.poj 0,506</t>
  </si>
  <si>
    <t>XEDOS 439,44659+1168,6664; TDI 36,3</t>
  </si>
  <si>
    <t>Býš vrata,plot 15,75</t>
  </si>
  <si>
    <t>vzt 0,542</t>
  </si>
  <si>
    <t>teplo 8,09847</t>
  </si>
  <si>
    <t>chodní Nstad 191,91689</t>
  </si>
  <si>
    <t>účel 65,405+16,352+5,887</t>
  </si>
  <si>
    <t>účel 85,755+21,439+7,718+0,183</t>
  </si>
  <si>
    <t>účel 76,368+19,095+6,877+0,321; mater 0,151 škol pěst 10,65 LDT 5</t>
  </si>
  <si>
    <t>vratka tábor -3,79; mater 0,124</t>
  </si>
  <si>
    <t>zájezd 17,96</t>
  </si>
  <si>
    <t>čaj 4,0+0,774 OSA;17,95 kalendáře;květiny 1,307</t>
  </si>
  <si>
    <t>přísp.str (994+1408)*15</t>
  </si>
  <si>
    <t>PS provoz 199,70821;vozidlo 570,64931;fyz do EČ -7,468=-11,256+3,752</t>
  </si>
  <si>
    <t>roh 1/0,192; 2/ 0,635;tlf 1/0,98978; 2/ 1,59483;hav.poj 26,313+11,125;VZT 1,317</t>
  </si>
  <si>
    <t>provoz 253,66 OMH 6,36595</t>
  </si>
  <si>
    <t>BL 32,423 HavPosv 253,63;Rad.hud.sc 10,53</t>
  </si>
  <si>
    <t>SH plot 5,962; elmont GSM 1,863</t>
  </si>
  <si>
    <t>zbrojn zadav 27,225</t>
  </si>
  <si>
    <t>revize žebř 8,657; PHM 6,27581;škol 9,9;hadice 18,0</t>
  </si>
  <si>
    <t>čp 1075 re.bytu 109,718</t>
  </si>
  <si>
    <t>TS přísp 9-10/ 1339,0</t>
  </si>
  <si>
    <t>09/ Volby PSP</t>
  </si>
  <si>
    <t>mater 8,967+10,14+0,986+0,78499; stravenky 10,2385</t>
  </si>
  <si>
    <t>mzdy 36,034+9,009+3,243+0,152+905/905*860</t>
  </si>
  <si>
    <t>mzdy 151,213+37,797+13,615+0,626</t>
  </si>
  <si>
    <t>odm.zast 287,965+SP 56,189+ZP 25,92+pov.poj 2,209; 910/ 10,086; výr 0,891;secur 81,6;OVK obč 3,315</t>
  </si>
  <si>
    <t>Babí léto 60,662; HavPosv 368,055; BB 16,635; 2CD 31,097</t>
  </si>
  <si>
    <t>3612/tlf 0,599+0,00121;kostel el. 0,501;1517/0,501;3612/0,192;MuŘ náj.sml 8,926</t>
  </si>
  <si>
    <t>09/ 9,92+ZP 0,893+SP 2,48</t>
  </si>
  <si>
    <t>G Vondr 90,0; 732/ TDI 3,63;okna 708,491; Far/ 80,161</t>
  </si>
  <si>
    <t>platy 1.395.635+ZP 125.607+SP 348.909+pov.poj 5.862</t>
  </si>
  <si>
    <t>EČ platy -357,348 OON -26,674 ZP -33,299 SP -92,453; BH -401,564-10,1-36,168-100,37; 1.157,727+ZP 104,195+SP 289,432+pov.poj 4,862=1.556,217</t>
  </si>
  <si>
    <t>3% příděl 111,052</t>
  </si>
  <si>
    <t>02/ Šárovo kolo protipovodňová opatř</t>
  </si>
  <si>
    <t>HMP</t>
  </si>
  <si>
    <r>
      <t>04/ 3113 ZŠ Program prim.prev</t>
    </r>
    <r>
      <rPr>
        <sz val="7"/>
        <rFont val="Arial"/>
        <family val="2"/>
      </rPr>
      <t xml:space="preserve"> UZ 081</t>
    </r>
  </si>
  <si>
    <t>obrat 11/2017</t>
  </si>
  <si>
    <t>přísp 420</t>
  </si>
  <si>
    <t>účel  4.608,64118</t>
  </si>
  <si>
    <t>HMP účel</t>
  </si>
  <si>
    <t>inž-geol.průzkum 47,4804; radon 5,082</t>
  </si>
  <si>
    <t>servis 39,325 Renards 11,495 účel -4.608,64118</t>
  </si>
  <si>
    <t>pařez+nový 14,52+76,466 mulč 21,488 uliční truhl 39,963= 152,437 MuŘ údržba výsadby 223,729</t>
  </si>
  <si>
    <t>měřič el.en 0,83 osazení 4,235</t>
  </si>
  <si>
    <t>DoprZn 1,347; VO 2,352+0,542 +0,941+Nosv 1,491+měřič 0,83;nerekl 0,624;vod.šachta 5,6; Aranea -20,1828</t>
  </si>
  <si>
    <t>elinstal 11,166+11,605; dlažba 36,801;plyn 1,936</t>
  </si>
  <si>
    <t>Biot soc.záz 20,328</t>
  </si>
  <si>
    <t>aula 773,564+30,25+931,59231+3,2</t>
  </si>
  <si>
    <t>proj.dok 17,155</t>
  </si>
  <si>
    <t>účel 108100105/ 9,76; 108517985/500,0</t>
  </si>
  <si>
    <t>účel 4008,5+6680,9</t>
  </si>
  <si>
    <t>voda 76,95;teplo 165-41,22323 účel: -10.713,6; 1112/-10713,6; 102/-509,76</t>
  </si>
  <si>
    <t>přísp. (1157+1597)*15</t>
  </si>
  <si>
    <t>1/ 1,81374 tlf 1,06674 roh 0,192 poj 0,555+střecha 2,65; 2/2,6479+19,702 (topen 8,1 tlf 1,9709 VZT 1,317 roh 0,635)</t>
  </si>
  <si>
    <t>účel 52,628</t>
  </si>
  <si>
    <t>celkem 276,22948</t>
  </si>
  <si>
    <t>pomník padlých 72,6</t>
  </si>
  <si>
    <t>konc.přátel 14,5; 7/10 BL: 0,7745 HavPosv 5,6255; 2CD 1,5</t>
  </si>
  <si>
    <t>celkem 103,75183; OMH 30,44472 (elinst 7,847 topen 6,05 voda 1,49 teplo 10,69072 jímač 3,8)</t>
  </si>
  <si>
    <t>celkem 239,046 OMH 13,82571 (elinst 4,333 teplo 8,36171)</t>
  </si>
  <si>
    <t>celkem 163,48029 (roleta 8,998) OMH 4,1674 (elinst 0,605 topen 2,4684+0,708)</t>
  </si>
  <si>
    <t>kron 1,32 vazba 0,4</t>
  </si>
  <si>
    <t>přísp PO 666; odst.únik plynu 2,057</t>
  </si>
  <si>
    <t>1068/111,174; 1062/230,37;1074/61,314; rekuper 228</t>
  </si>
  <si>
    <t xml:space="preserve"> 30/11/2017</t>
  </si>
  <si>
    <r>
      <t xml:space="preserve">09/ 6171 výkon ag.soc. práce </t>
    </r>
    <r>
      <rPr>
        <sz val="8"/>
        <rFont val="Arial"/>
        <family val="2"/>
      </rPr>
      <t>13015</t>
    </r>
  </si>
  <si>
    <t>účel 31,479</t>
  </si>
  <si>
    <t>vyšetření, zpráva, mater 1,349</t>
  </si>
  <si>
    <t>čerpání 251,66182</t>
  </si>
  <si>
    <t>účel 82,071</t>
  </si>
  <si>
    <t>účel 77,982</t>
  </si>
  <si>
    <t>SC 130</t>
  </si>
  <si>
    <t>účel 110,736+26,57+9,571+0,455; 1,362+0,14868</t>
  </si>
  <si>
    <t>opr.PS 12/22,0; PHM 23,41301; účel HZS -9,2</t>
  </si>
  <si>
    <t>UZ 14004: -49,342+9,2; UZ 081: -23,41301; opr 2,613+22; PHM 3,03684 poj 7,635 tlf 1,3008</t>
  </si>
  <si>
    <t>10/ 6,670+SP 1,667+ZP 0,601</t>
  </si>
  <si>
    <t>732/ 250,502 (226,302) radar 119,219 radn PD 145,2</t>
  </si>
  <si>
    <t>z EČ 357,348+26,674+33,299+92,453 z BH 401,564+10,100+36,168+100,370 (celkem +1057,976)</t>
  </si>
  <si>
    <t>1042,027+93,782+260,507+4,377 celkem 1.400,693</t>
  </si>
  <si>
    <t>UR ZMČ 18/12</t>
  </si>
  <si>
    <t>UR ZMČ 21/06</t>
  </si>
  <si>
    <t xml:space="preserve"> 31/12/2017</t>
  </si>
  <si>
    <t>04/3421 Podpora sportu Nást SH</t>
  </si>
  <si>
    <t>obrat 12/2017</t>
  </si>
  <si>
    <t>popl.klientů 48,05</t>
  </si>
  <si>
    <t>EurCin za 2016 109,3849</t>
  </si>
  <si>
    <t>popl.klientů 25,161</t>
  </si>
  <si>
    <t xml:space="preserve"> 12/2017</t>
  </si>
  <si>
    <t>1/12 stát dotace 1.463</t>
  </si>
  <si>
    <t>z EČ 3.000; z BH 7.000</t>
  </si>
  <si>
    <t>úroky 2,28342</t>
  </si>
  <si>
    <t>9.+10.spl 2.235,64035</t>
  </si>
  <si>
    <t>příjmy BÚ oprava 11/ -11,705</t>
  </si>
  <si>
    <t>popl 142,435</t>
  </si>
  <si>
    <t xml:space="preserve"> 01-12/2017</t>
  </si>
  <si>
    <t xml:space="preserve">zaměř 7,986;PD plyn 18,15; PD KKC 285,56; OPDS 261,36; ZUŠ 232,32; PČR 425,92 </t>
  </si>
  <si>
    <t>přísp PO 420,0</t>
  </si>
  <si>
    <t>čišt.dešt.kan 177,2978; u MŠ Nosv 13,0123</t>
  </si>
  <si>
    <t>lávka prohl 13,492; zabezp 10,285</t>
  </si>
  <si>
    <t>opr.podz.kont.Karl 4,134</t>
  </si>
  <si>
    <t>přesaz.K Láz 42,35; uliční zel.plochy 169,325</t>
  </si>
  <si>
    <t>PD cyklotrasy II K přív-Šár.kolo 75,02;nerekl 0,468;VO 2,352+0,542 +0,941+Nosv 1,491;lávka: výstraha 1,815+techn.prohl 3,799</t>
  </si>
  <si>
    <t>11/ a 12/ OON 74,1 SP 10,023 ZP 3,609</t>
  </si>
  <si>
    <t>přísp PO 4./4  530</t>
  </si>
  <si>
    <t>přísp PO 4./4  1.265</t>
  </si>
  <si>
    <t>TDI 43,076</t>
  </si>
  <si>
    <t>AREN vratka -223,952-878,252</t>
  </si>
  <si>
    <t>slaboproud 3,70865;techn.pom 10,89;meet 108,9;PD 286,77;BOZP 14,52</t>
  </si>
  <si>
    <t>VZT Prox 0,542</t>
  </si>
  <si>
    <t>slaboproud 15,417 ALBET 492,69869; dokum 133,1;TDI 30,25;BOZP 59,29</t>
  </si>
  <si>
    <t>UZ 098 loterie Granty -101,0</t>
  </si>
  <si>
    <r>
      <rPr>
        <sz val="9"/>
        <rFont val="Arial"/>
        <family val="2"/>
      </rPr>
      <t>Granty 3419</t>
    </r>
    <r>
      <rPr>
        <sz val="8"/>
        <rFont val="Arial"/>
        <family val="2"/>
      </rPr>
      <t xml:space="preserve"> nezisk.org </t>
    </r>
    <r>
      <rPr>
        <sz val="9"/>
        <rFont val="Arial"/>
        <family val="2"/>
      </rPr>
      <t>3429</t>
    </r>
    <r>
      <rPr>
        <sz val="8"/>
        <rFont val="Arial"/>
        <family val="2"/>
      </rPr>
      <t xml:space="preserve"> ost </t>
    </r>
    <r>
      <rPr>
        <sz val="9"/>
        <rFont val="Arial"/>
        <family val="2"/>
      </rPr>
      <t>3421</t>
    </r>
    <r>
      <rPr>
        <sz val="8"/>
        <rFont val="Arial"/>
        <family val="2"/>
      </rPr>
      <t xml:space="preserve"> sport</t>
    </r>
  </si>
  <si>
    <t>hřbito voda ze ZŠ 8,798</t>
  </si>
  <si>
    <t>1080/ rek.bytu 243,074</t>
  </si>
  <si>
    <t>celkem 43,95914 v tom malíř 18,55; OMH 13,33158 v tom teplo 11,30458; na UZ 098 loter -23,011</t>
  </si>
  <si>
    <t>celkem 396,37419 OMH 20,92145 v tom teplo 11,64381+voda 5,125; na UZ 098 loter -10,0</t>
  </si>
  <si>
    <t>přísp PO 3./4   350; na UZ 098 loter -29,5; služby PD gastr.prov 59,29; teplo 12,70687+17,50715 vratka -82,46765</t>
  </si>
  <si>
    <t>na UZ 098 loter: VDD -13,5 KrPr -137,2</t>
  </si>
  <si>
    <t>kron 2x1,32; rám+rest foto 8,5</t>
  </si>
  <si>
    <t>celkem 212,96996+OMH 17,05957; na UZ 098 loter -78,0 -67,0</t>
  </si>
  <si>
    <t>opr.vál SH 25,652</t>
  </si>
  <si>
    <t>RE opr. veř.rozhl 108,9</t>
  </si>
  <si>
    <r>
      <t xml:space="preserve">04/ MŠ 188,2 ZŠ 284,8 ŠJ 50,5 </t>
    </r>
    <r>
      <rPr>
        <sz val="8"/>
        <rFont val="Arial"/>
        <family val="2"/>
      </rPr>
      <t>UZ</t>
    </r>
    <r>
      <rPr>
        <sz val="9"/>
        <rFont val="Arial"/>
        <family val="2"/>
      </rPr>
      <t xml:space="preserve"> 096 posíl.mezd</t>
    </r>
  </si>
  <si>
    <t>04/ nezisk. org</t>
  </si>
  <si>
    <t>odm.zast 438,886;provoz 7,582;květ 0,505</t>
  </si>
  <si>
    <t>opr 2,94272; na UZ loter -59,5; studie nást MŠ 1368/116,16</t>
  </si>
  <si>
    <t xml:space="preserve">12/ ; na UZ 081/ </t>
  </si>
  <si>
    <t>přísp. PO 665,0 + navýš 600,0; TS čištění okapů 2,965</t>
  </si>
  <si>
    <r>
      <rPr>
        <sz val="9"/>
        <rFont val="Arial"/>
        <family val="2"/>
      </rPr>
      <t>04/3113 ZŠ Integrac</t>
    </r>
    <r>
      <rPr>
        <sz val="8"/>
        <rFont val="Arial"/>
        <family val="2"/>
      </rPr>
      <t>e dokrytí 1-8/17</t>
    </r>
    <r>
      <rPr>
        <sz val="7"/>
        <rFont val="Arial"/>
        <family val="2"/>
      </rPr>
      <t xml:space="preserve"> UZ 091</t>
    </r>
  </si>
  <si>
    <t>2CD 23,644 BB OSA 1,975; advent 25+19+11,638+ 21,538+ 69,258+21,274; květiny 3,24; trh 3,146 + 13,746;osvětl 70,056</t>
  </si>
  <si>
    <t>12/2017</t>
  </si>
  <si>
    <t xml:space="preserve">výsledek 1-12/2017: </t>
  </si>
  <si>
    <t>UR ZMČ 21/06 DPPO 2016</t>
  </si>
  <si>
    <r>
      <t xml:space="preserve">příjmy BÚ 12/11,705 </t>
    </r>
    <r>
      <rPr>
        <sz val="7"/>
        <rFont val="Arial"/>
        <family val="2"/>
      </rPr>
      <t>nyní ORJ 1000 1356 popl. dob.prost 2017</t>
    </r>
  </si>
  <si>
    <t>Sídl,HorNám 34,87 chybně na 0204; hradidl.kom inž.čin 21,78;PD:přech.Výp PD 89,54+rek K Láz 30,25; opr.kom 57,001+14,52</t>
  </si>
  <si>
    <t>ALEGRA 260,324 LEŠŠO 407,862+192,088 MIKU elinst 116,644 pož.schod 464,359;teplo 141,3-19,12738;el.en 68,679 (56,64+12,039); tlf 0,00847;služby 1,51;opravy asfalt 59,764</t>
  </si>
  <si>
    <t>teplo 265,2148-36,17852 zál 195,8 -595,64657;voda -257,912-60,68 ŠJ+0,971 Andr - 16,065 MK+hřb+pítko; el.en -305,829-264,76 ŠJ    0,00424;0,542;</t>
  </si>
  <si>
    <t>granty na UZ loter -249,7-5+4,535 lyžák +395,8 ?</t>
  </si>
  <si>
    <r>
      <rPr>
        <sz val="7"/>
        <rFont val="Arial"/>
        <family val="2"/>
      </rPr>
      <t>3412/6121 219,903 SH v 2/2017;</t>
    </r>
    <r>
      <rPr>
        <sz val="8"/>
        <rFont val="Arial"/>
        <family val="2"/>
      </rPr>
      <t xml:space="preserve"> Biot PD zázemí na UZ loter -20,328</t>
    </r>
  </si>
  <si>
    <t>4349 záj 14,68</t>
  </si>
  <si>
    <t>mzdy 129,978-EČ 182,785; provoz 10,77547</t>
  </si>
  <si>
    <t>mzdy 162,769-EČ 139,182; provoz 10,99661; OMH 1,094</t>
  </si>
  <si>
    <t>3421 Dětská hřiště 3412 SH</t>
  </si>
  <si>
    <r>
      <t>odm.zast 257,68 Far: 13,844</t>
    </r>
    <r>
      <rPr>
        <sz val="7"/>
        <rFont val="Arial"/>
        <family val="2"/>
      </rPr>
      <t xml:space="preserve"> (překl NJ 12) Ostraha 78,88</t>
    </r>
  </si>
  <si>
    <r>
      <t xml:space="preserve">KÚ/93,2453+3013,8; NP16 74,21562; OOS/ 78,05871+0,210 OE/ 2.680,89781;man 123,79;výb/kom 2,72+10,95;opatr 13,293OMH 188,84459;poj 68,21; </t>
    </r>
    <r>
      <rPr>
        <b/>
        <sz val="7"/>
        <rFont val="Arial"/>
        <family val="2"/>
      </rPr>
      <t>OS 31,35779; na 13015/-0,86; na 13010/-0,9295-5,49;na 13011/ -67,59301 -27,84947 OVDŽP</t>
    </r>
    <r>
      <rPr>
        <sz val="7"/>
        <rFont val="Arial"/>
        <family val="2"/>
      </rPr>
      <t xml:space="preserve">/ 33,18945 </t>
    </r>
    <r>
      <rPr>
        <b/>
        <sz val="7"/>
        <rFont val="Arial"/>
        <family val="2"/>
      </rPr>
      <t>OŽ</t>
    </r>
    <r>
      <rPr>
        <sz val="7"/>
        <rFont val="Arial"/>
        <family val="2"/>
      </rPr>
      <t xml:space="preserve">/6,276 </t>
    </r>
    <r>
      <rPr>
        <b/>
        <sz val="7"/>
        <rFont val="Arial"/>
        <family val="2"/>
      </rPr>
      <t>Far</t>
    </r>
    <r>
      <rPr>
        <sz val="7"/>
        <rFont val="Arial"/>
        <family val="2"/>
      </rPr>
      <t>/ 415,96356</t>
    </r>
  </si>
  <si>
    <r>
      <rPr>
        <b/>
        <sz val="9"/>
        <rFont val="Arial"/>
        <family val="2"/>
      </rPr>
      <t>KÚ</t>
    </r>
    <r>
      <rPr>
        <sz val="8"/>
        <rFont val="Arial"/>
        <family val="2"/>
      </rPr>
      <t xml:space="preserve">: 48,44954; zájezd BL 10,4468;NP16 62,22719 </t>
    </r>
    <r>
      <rPr>
        <b/>
        <sz val="9"/>
        <rFont val="Arial"/>
        <family val="2"/>
      </rPr>
      <t>OOS</t>
    </r>
    <r>
      <rPr>
        <sz val="8"/>
        <rFont val="Arial"/>
        <family val="2"/>
      </rPr>
      <t xml:space="preserve">: 9,92771 </t>
    </r>
    <r>
      <rPr>
        <b/>
        <sz val="9"/>
        <rFont val="Arial"/>
        <family val="2"/>
      </rPr>
      <t>OE</t>
    </r>
    <r>
      <rPr>
        <sz val="8"/>
        <rFont val="Arial"/>
        <family val="2"/>
      </rPr>
      <t xml:space="preserve">: celkem 3184,41931-SPOD 76,31068-SocPr 31,479 man 101,719 K+V 6,22 </t>
    </r>
    <r>
      <rPr>
        <b/>
        <sz val="9"/>
        <rFont val="Arial"/>
        <family val="2"/>
      </rPr>
      <t>OMH</t>
    </r>
    <r>
      <rPr>
        <sz val="8"/>
        <rFont val="Arial"/>
        <family val="2"/>
      </rPr>
      <t xml:space="preserve">: 896,41716 </t>
    </r>
    <r>
      <rPr>
        <b/>
        <sz val="9"/>
        <rFont val="Arial"/>
        <family val="2"/>
      </rPr>
      <t>OS</t>
    </r>
    <r>
      <rPr>
        <sz val="8"/>
        <rFont val="Arial"/>
        <family val="2"/>
      </rPr>
      <t xml:space="preserve">: 6,90268-1,638,99 </t>
    </r>
    <r>
      <rPr>
        <b/>
        <sz val="9"/>
        <rFont val="Arial"/>
        <family val="2"/>
      </rPr>
      <t>OVDŽP</t>
    </r>
    <r>
      <rPr>
        <sz val="8"/>
        <rFont val="Arial"/>
        <family val="2"/>
      </rPr>
      <t xml:space="preserve">: 8,989 </t>
    </r>
    <r>
      <rPr>
        <b/>
        <sz val="9"/>
        <rFont val="Arial"/>
        <family val="2"/>
      </rPr>
      <t>OŽ</t>
    </r>
    <r>
      <rPr>
        <sz val="8"/>
        <rFont val="Arial"/>
        <family val="2"/>
      </rPr>
      <t>: 2,676</t>
    </r>
  </si>
  <si>
    <r>
      <rPr>
        <b/>
        <sz val="8"/>
        <rFont val="Arial"/>
        <family val="2"/>
      </rPr>
      <t xml:space="preserve">KÚ/ </t>
    </r>
    <r>
      <rPr>
        <sz val="8"/>
        <rFont val="Arial"/>
        <family val="2"/>
      </rPr>
      <t xml:space="preserve">196,1019-57,32 ZOZ -8,46613 UZ tlf; (kalend 29,379;digit 26,804;tlf 3,0138+9,60957+12,23687;monitor 3,8615;GPS TS -17,8488;PF 4,84;Morava 44,629+26,62;LN 3,707;ChCr 17,92);N P16 71,56401 </t>
    </r>
    <r>
      <rPr>
        <b/>
        <sz val="8"/>
        <rFont val="Arial"/>
        <family val="2"/>
      </rPr>
      <t xml:space="preserve">OOS/ </t>
    </r>
    <r>
      <rPr>
        <sz val="8"/>
        <rFont val="Arial"/>
        <family val="2"/>
      </rPr>
      <t xml:space="preserve">74,43313 (StTC 3x7,68471;Zbr 3;škol 2,2;FS 50) SvS 1,075 </t>
    </r>
    <r>
      <rPr>
        <b/>
        <sz val="9"/>
        <rFont val="Arial"/>
        <family val="2"/>
      </rPr>
      <t>OE</t>
    </r>
    <r>
      <rPr>
        <sz val="8"/>
        <rFont val="Arial"/>
        <family val="2"/>
      </rPr>
      <t xml:space="preserve">: 117,06205;dar volby 28;man 161,605;K,V 1,88;opatr 32,181 </t>
    </r>
    <r>
      <rPr>
        <b/>
        <sz val="9"/>
        <rFont val="Arial"/>
        <family val="2"/>
      </rPr>
      <t>OMH</t>
    </r>
    <r>
      <rPr>
        <sz val="8"/>
        <rFont val="Arial"/>
        <family val="2"/>
      </rPr>
      <t xml:space="preserve">: 205,64641 inv 208,47+ 279,36662; poj 146,013 </t>
    </r>
    <r>
      <rPr>
        <b/>
        <sz val="9"/>
        <rFont val="Arial"/>
        <family val="2"/>
      </rPr>
      <t>OVDŽP</t>
    </r>
    <r>
      <rPr>
        <sz val="8"/>
        <rFont val="Arial"/>
        <family val="2"/>
      </rPr>
      <t xml:space="preserve">: 8,408 </t>
    </r>
    <r>
      <rPr>
        <b/>
        <sz val="9"/>
        <rFont val="Arial"/>
        <family val="2"/>
      </rPr>
      <t>Far</t>
    </r>
    <r>
      <rPr>
        <sz val="8"/>
        <rFont val="Arial"/>
        <family val="2"/>
      </rPr>
      <t>: 946,00637; 901/-6;905/-122,07671;4137/-124,541;</t>
    </r>
    <r>
      <rPr>
        <b/>
        <sz val="9"/>
        <rFont val="Arial"/>
        <family val="2"/>
      </rPr>
      <t>OS</t>
    </r>
    <r>
      <rPr>
        <sz val="8"/>
        <rFont val="Arial"/>
        <family val="2"/>
      </rPr>
      <t>: 9,863,96+13011/-127,95628+122,07671; 13015/0,45389+15,04;</t>
    </r>
    <r>
      <rPr>
        <b/>
        <sz val="9"/>
        <rFont val="Arial"/>
        <family val="2"/>
      </rPr>
      <t>OŽ</t>
    </r>
    <r>
      <rPr>
        <sz val="8"/>
        <rFont val="Arial"/>
        <family val="2"/>
      </rPr>
      <t>: 0,53028</t>
    </r>
  </si>
  <si>
    <r>
      <t>21/</t>
    </r>
    <r>
      <rPr>
        <sz val="8"/>
        <rFont val="Arial"/>
        <family val="2"/>
      </rPr>
      <t xml:space="preserve">teplo 15,65242; -5,13191; </t>
    </r>
    <r>
      <rPr>
        <b/>
        <sz val="8"/>
        <rFont val="Arial"/>
        <family val="2"/>
      </rPr>
      <t>732/ -</t>
    </r>
    <r>
      <rPr>
        <sz val="8"/>
        <rFont val="Arial"/>
        <family val="2"/>
      </rPr>
      <t>33,18484</t>
    </r>
  </si>
  <si>
    <r>
      <t xml:space="preserve">21/ </t>
    </r>
    <r>
      <rPr>
        <sz val="7"/>
        <rFont val="Arial"/>
        <family val="2"/>
      </rPr>
      <t>45,16217 (elinst 1,487 voda 17,85 žaluz 1,031 teplo 23,75817)</t>
    </r>
    <r>
      <rPr>
        <b/>
        <sz val="7"/>
        <rFont val="Arial"/>
        <family val="2"/>
      </rPr>
      <t xml:space="preserve"> 23</t>
    </r>
    <r>
      <rPr>
        <sz val="7"/>
        <rFont val="Arial"/>
        <family val="2"/>
      </rPr>
      <t xml:space="preserve">/ 20,78892 (elinst 1,408 voda 5,92 detekt.plyn 4,97879 Font 1,426 teplo 6,25513) </t>
    </r>
    <r>
      <rPr>
        <b/>
        <sz val="7"/>
        <rFont val="Arial"/>
        <family val="2"/>
      </rPr>
      <t>732</t>
    </r>
    <r>
      <rPr>
        <sz val="7"/>
        <rFont val="Arial"/>
        <family val="2"/>
      </rPr>
      <t xml:space="preserve">/ 7,54106 (voda 2,23 teplo 4,40606) </t>
    </r>
    <r>
      <rPr>
        <b/>
        <sz val="7"/>
        <rFont val="Arial"/>
        <family val="2"/>
      </rPr>
      <t>1600</t>
    </r>
    <r>
      <rPr>
        <sz val="7"/>
        <rFont val="Arial"/>
        <family val="2"/>
      </rPr>
      <t>/ stříška 10,54</t>
    </r>
  </si>
  <si>
    <r>
      <t xml:space="preserve">21/ </t>
    </r>
    <r>
      <rPr>
        <sz val="8"/>
        <rFont val="Arial"/>
        <family val="2"/>
      </rPr>
      <t>72,88685</t>
    </r>
    <r>
      <rPr>
        <b/>
        <sz val="8"/>
        <rFont val="Arial"/>
        <family val="2"/>
      </rPr>
      <t xml:space="preserve">; 23/ </t>
    </r>
    <r>
      <rPr>
        <sz val="8"/>
        <rFont val="Arial"/>
        <family val="2"/>
      </rPr>
      <t>11,53716</t>
    </r>
    <r>
      <rPr>
        <b/>
        <sz val="8"/>
        <rFont val="Arial"/>
        <family val="2"/>
      </rPr>
      <t xml:space="preserve"> 732/</t>
    </r>
    <r>
      <rPr>
        <sz val="8"/>
        <rFont val="Arial"/>
        <family val="2"/>
      </rPr>
      <t>137,31293</t>
    </r>
    <r>
      <rPr>
        <b/>
        <sz val="8"/>
        <rFont val="Arial"/>
        <family val="2"/>
      </rPr>
      <t xml:space="preserve">; </t>
    </r>
    <r>
      <rPr>
        <sz val="8"/>
        <rFont val="Arial"/>
        <family val="2"/>
      </rPr>
      <t>vyúčt energie -83,49</t>
    </r>
  </si>
  <si>
    <r>
      <t xml:space="preserve">akce provoz VDD 3,9325 Beach Food 3,3275 KrPr 6,655 Ván.tr 8,47 HavPosv 33,12375 BB 12,4025 Neck 3,63 VDD zmrzl 9,936 Přátelství 30,585 HavPosv report 6,655 Led.obr 42,35; Advent: obč 0,525 </t>
    </r>
    <r>
      <rPr>
        <b/>
        <sz val="7"/>
        <rFont val="Arial"/>
        <family val="2"/>
      </rPr>
      <t>2CD:</t>
    </r>
    <r>
      <rPr>
        <sz val="7"/>
        <rFont val="Arial"/>
        <family val="2"/>
      </rPr>
      <t xml:space="preserve"> 73,968</t>
    </r>
  </si>
  <si>
    <r>
      <t xml:space="preserve">732/ </t>
    </r>
    <r>
      <rPr>
        <sz val="8"/>
        <rFont val="Arial"/>
        <family val="2"/>
      </rPr>
      <t>83,49 + 1.225,9;  MF kupní 208,47;Š Fab 279,36662; (6130/6130*194810+6125/6125*80161+6171/6171*23560)*0</t>
    </r>
  </si>
  <si>
    <r>
      <t xml:space="preserve">SON tlf 0,60021 NZZ osouš 16,843 tlf 0,501 čp 5/el 0,5; NZZ stříška 4,75+10,54 kluz 0,45; 1517/roh 0,501; </t>
    </r>
    <r>
      <rPr>
        <b/>
        <sz val="7"/>
        <rFont val="Arial"/>
        <family val="2"/>
      </rPr>
      <t>2105</t>
    </r>
    <r>
      <rPr>
        <sz val="7"/>
        <rFont val="Arial"/>
        <family val="2"/>
      </rPr>
      <t xml:space="preserve">/ el.en 0,92 </t>
    </r>
    <r>
      <rPr>
        <b/>
        <sz val="7"/>
        <rFont val="Arial"/>
        <family val="2"/>
      </rPr>
      <t>3612</t>
    </r>
    <r>
      <rPr>
        <sz val="7"/>
        <rFont val="Arial"/>
        <family val="2"/>
      </rPr>
      <t>/0,192 Biot: ? -31,573</t>
    </r>
  </si>
  <si>
    <t>901/ tlf -2,4 z BH; NZZ rohože 0,501;1379/0,4;1517/0,501 roh; BH/ 0,192 roh; Biotop 13,07-31,765 ?</t>
  </si>
  <si>
    <t>PP 7,1-8,06875 rekr 0,255-0,3375 UVP 39,69 ubyt 7,596</t>
  </si>
  <si>
    <r>
      <t>02/ Kanalizace Šárovo kolo</t>
    </r>
    <r>
      <rPr>
        <sz val="7"/>
        <rFont val="Arial"/>
        <family val="2"/>
      </rPr>
      <t xml:space="preserve"> UZ 084</t>
    </r>
  </si>
  <si>
    <r>
      <t>04/ ZŠ Pól růstu ZŠ 102</t>
    </r>
    <r>
      <rPr>
        <sz val="9"/>
        <rFont val="Arial"/>
        <family val="2"/>
      </rPr>
      <t xml:space="preserve"> půdní vest,bezbariér</t>
    </r>
  </si>
  <si>
    <r>
      <t>04/ MŠ Šablony MŠMT</t>
    </r>
    <r>
      <rPr>
        <sz val="7"/>
        <rFont val="Arial"/>
        <family val="2"/>
      </rPr>
      <t xml:space="preserve"> UZ 33063</t>
    </r>
  </si>
  <si>
    <t>07/ JSDH odb.přípr, provoz UZ 14004</t>
  </si>
  <si>
    <r>
      <t xml:space="preserve">02/ PodzKont II </t>
    </r>
    <r>
      <rPr>
        <sz val="8"/>
        <rFont val="Arial"/>
        <family val="2"/>
      </rPr>
      <t>UZ 106515974</t>
    </r>
  </si>
  <si>
    <t>úhr. 39,171</t>
  </si>
  <si>
    <t>poj.plnění 1.347</t>
  </si>
  <si>
    <t>účel 684,00152</t>
  </si>
  <si>
    <t>účel.dot 10.000 mil</t>
  </si>
  <si>
    <t>nahod. 170,57395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</si>
</sst>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#,##0.0000"/>
    <numFmt numFmtId="167" formatCode="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8"/>
      <name val="Arial CE"/>
      <family val="0"/>
    </font>
    <font>
      <strike/>
      <sz val="7"/>
      <name val="Arial"/>
      <family val="2"/>
    </font>
    <font>
      <sz val="6"/>
      <name val="Arial"/>
      <family val="2"/>
    </font>
    <font>
      <strike/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ck"/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thin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64" fontId="4" fillId="33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164" fontId="10" fillId="33" borderId="17" xfId="0" applyNumberFormat="1" applyFont="1" applyFill="1" applyBorder="1" applyAlignment="1">
      <alignment/>
    </xf>
    <xf numFmtId="164" fontId="10" fillId="34" borderId="18" xfId="0" applyNumberFormat="1" applyFont="1" applyFill="1" applyBorder="1" applyAlignment="1">
      <alignment/>
    </xf>
    <xf numFmtId="164" fontId="10" fillId="34" borderId="19" xfId="0" applyNumberFormat="1" applyFont="1" applyFill="1" applyBorder="1" applyAlignment="1">
      <alignment/>
    </xf>
    <xf numFmtId="164" fontId="4" fillId="34" borderId="19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1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0" fillId="36" borderId="23" xfId="0" applyFont="1" applyFill="1" applyBorder="1" applyAlignment="1">
      <alignment wrapText="1"/>
    </xf>
    <xf numFmtId="0" fontId="10" fillId="37" borderId="23" xfId="0" applyFont="1" applyFill="1" applyBorder="1" applyAlignment="1">
      <alignment wrapText="1"/>
    </xf>
    <xf numFmtId="0" fontId="10" fillId="34" borderId="23" xfId="0" applyFont="1" applyFill="1" applyBorder="1" applyAlignment="1">
      <alignment wrapText="1"/>
    </xf>
    <xf numFmtId="0" fontId="10" fillId="38" borderId="23" xfId="0" applyFont="1" applyFill="1" applyBorder="1" applyAlignment="1">
      <alignment wrapText="1"/>
    </xf>
    <xf numFmtId="0" fontId="10" fillId="39" borderId="23" xfId="0" applyFont="1" applyFill="1" applyBorder="1" applyAlignment="1">
      <alignment wrapText="1"/>
    </xf>
    <xf numFmtId="0" fontId="10" fillId="40" borderId="23" xfId="0" applyFont="1" applyFill="1" applyBorder="1" applyAlignment="1">
      <alignment wrapText="1"/>
    </xf>
    <xf numFmtId="0" fontId="10" fillId="41" borderId="23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10" fillId="33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10" fillId="33" borderId="26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3" borderId="27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wrapText="1"/>
    </xf>
    <xf numFmtId="164" fontId="5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wrapText="1"/>
    </xf>
    <xf numFmtId="164" fontId="5" fillId="0" borderId="32" xfId="0" applyNumberFormat="1" applyFont="1" applyFill="1" applyBorder="1" applyAlignment="1">
      <alignment wrapText="1"/>
    </xf>
    <xf numFmtId="164" fontId="5" fillId="0" borderId="33" xfId="0" applyNumberFormat="1" applyFont="1" applyFill="1" applyBorder="1" applyAlignment="1">
      <alignment horizontal="center" wrapText="1"/>
    </xf>
    <xf numFmtId="164" fontId="12" fillId="34" borderId="19" xfId="0" applyNumberFormat="1" applyFont="1" applyFill="1" applyBorder="1" applyAlignment="1">
      <alignment/>
    </xf>
    <xf numFmtId="0" fontId="10" fillId="0" borderId="24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64" fontId="5" fillId="0" borderId="34" xfId="0" applyNumberFormat="1" applyFont="1" applyFill="1" applyBorder="1" applyAlignment="1">
      <alignment wrapText="1"/>
    </xf>
    <xf numFmtId="10" fontId="9" fillId="0" borderId="0" xfId="0" applyNumberFormat="1" applyFont="1" applyBorder="1" applyAlignment="1">
      <alignment/>
    </xf>
    <xf numFmtId="10" fontId="0" fillId="0" borderId="35" xfId="0" applyNumberFormat="1" applyFont="1" applyBorder="1" applyAlignment="1">
      <alignment/>
    </xf>
    <xf numFmtId="10" fontId="9" fillId="0" borderId="30" xfId="0" applyNumberFormat="1" applyFont="1" applyFill="1" applyBorder="1" applyAlignment="1">
      <alignment horizontal="center" wrapText="1"/>
    </xf>
    <xf numFmtId="10" fontId="9" fillId="0" borderId="28" xfId="0" applyNumberFormat="1" applyFont="1" applyFill="1" applyBorder="1" applyAlignment="1">
      <alignment/>
    </xf>
    <xf numFmtId="10" fontId="9" fillId="0" borderId="36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0" fontId="3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10" fontId="0" fillId="0" borderId="32" xfId="0" applyNumberFormat="1" applyFont="1" applyFill="1" applyBorder="1" applyAlignment="1">
      <alignment/>
    </xf>
    <xf numFmtId="10" fontId="5" fillId="0" borderId="28" xfId="0" applyNumberFormat="1" applyFont="1" applyFill="1" applyBorder="1" applyAlignment="1">
      <alignment/>
    </xf>
    <xf numFmtId="10" fontId="4" fillId="42" borderId="28" xfId="47" applyNumberFormat="1" applyFont="1" applyFill="1" applyBorder="1" applyAlignment="1">
      <alignment/>
      <protection/>
    </xf>
    <xf numFmtId="10" fontId="4" fillId="43" borderId="28" xfId="47" applyNumberFormat="1" applyFont="1" applyFill="1" applyBorder="1" applyAlignment="1">
      <alignment/>
      <protection/>
    </xf>
    <xf numFmtId="10" fontId="4" fillId="44" borderId="28" xfId="47" applyNumberFormat="1" applyFont="1" applyFill="1" applyBorder="1" applyAlignment="1">
      <alignment/>
      <protection/>
    </xf>
    <xf numFmtId="10" fontId="4" fillId="45" borderId="28" xfId="0" applyNumberFormat="1" applyFont="1" applyFill="1" applyBorder="1" applyAlignment="1">
      <alignment/>
    </xf>
    <xf numFmtId="10" fontId="4" fillId="45" borderId="37" xfId="0" applyNumberFormat="1" applyFont="1" applyFill="1" applyBorder="1" applyAlignment="1">
      <alignment/>
    </xf>
    <xf numFmtId="10" fontId="4" fillId="44" borderId="19" xfId="0" applyNumberFormat="1" applyFont="1" applyFill="1" applyBorder="1" applyAlignment="1">
      <alignment/>
    </xf>
    <xf numFmtId="10" fontId="5" fillId="0" borderId="38" xfId="0" applyNumberFormat="1" applyFont="1" applyFill="1" applyBorder="1" applyAlignment="1">
      <alignment wrapText="1"/>
    </xf>
    <xf numFmtId="10" fontId="5" fillId="0" borderId="28" xfId="0" applyNumberFormat="1" applyFont="1" applyFill="1" applyBorder="1" applyAlignment="1">
      <alignment wrapText="1"/>
    </xf>
    <xf numFmtId="10" fontId="0" fillId="0" borderId="28" xfId="0" applyNumberFormat="1" applyFont="1" applyFill="1" applyBorder="1" applyAlignment="1">
      <alignment/>
    </xf>
    <xf numFmtId="4" fontId="15" fillId="34" borderId="19" xfId="0" applyNumberFormat="1" applyFont="1" applyFill="1" applyBorder="1" applyAlignment="1">
      <alignment/>
    </xf>
    <xf numFmtId="4" fontId="5" fillId="0" borderId="39" xfId="0" applyNumberFormat="1" applyFont="1" applyBorder="1" applyAlignment="1">
      <alignment/>
    </xf>
    <xf numFmtId="4" fontId="10" fillId="34" borderId="28" xfId="0" applyNumberFormat="1" applyFont="1" applyFill="1" applyBorder="1" applyAlignment="1">
      <alignment/>
    </xf>
    <xf numFmtId="4" fontId="10" fillId="38" borderId="28" xfId="0" applyNumberFormat="1" applyFont="1" applyFill="1" applyBorder="1" applyAlignment="1">
      <alignment/>
    </xf>
    <xf numFmtId="4" fontId="10" fillId="39" borderId="28" xfId="0" applyNumberFormat="1" applyFont="1" applyFill="1" applyBorder="1" applyAlignment="1">
      <alignment/>
    </xf>
    <xf numFmtId="4" fontId="10" fillId="40" borderId="28" xfId="0" applyNumberFormat="1" applyFont="1" applyFill="1" applyBorder="1" applyAlignment="1">
      <alignment/>
    </xf>
    <xf numFmtId="4" fontId="10" fillId="41" borderId="28" xfId="0" applyNumberFormat="1" applyFont="1" applyFill="1" applyBorder="1" applyAlignment="1">
      <alignment/>
    </xf>
    <xf numFmtId="4" fontId="15" fillId="33" borderId="28" xfId="0" applyNumberFormat="1" applyFont="1" applyFill="1" applyBorder="1" applyAlignment="1">
      <alignment/>
    </xf>
    <xf numFmtId="4" fontId="15" fillId="33" borderId="40" xfId="0" applyNumberFormat="1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28" xfId="0" applyNumberFormat="1" applyFont="1" applyFill="1" applyBorder="1" applyAlignment="1">
      <alignment wrapText="1"/>
    </xf>
    <xf numFmtId="164" fontId="2" fillId="0" borderId="36" xfId="0" applyNumberFormat="1" applyFont="1" applyFill="1" applyBorder="1" applyAlignment="1">
      <alignment wrapText="1"/>
    </xf>
    <xf numFmtId="164" fontId="1" fillId="33" borderId="37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1" fillId="34" borderId="19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/>
    </xf>
    <xf numFmtId="4" fontId="10" fillId="35" borderId="28" xfId="0" applyNumberFormat="1" applyFont="1" applyFill="1" applyBorder="1" applyAlignment="1">
      <alignment/>
    </xf>
    <xf numFmtId="4" fontId="10" fillId="36" borderId="28" xfId="0" applyNumberFormat="1" applyFont="1" applyFill="1" applyBorder="1" applyAlignment="1">
      <alignment/>
    </xf>
    <xf numFmtId="4" fontId="10" fillId="37" borderId="28" xfId="0" applyNumberFormat="1" applyFont="1" applyFill="1" applyBorder="1" applyAlignment="1">
      <alignment/>
    </xf>
    <xf numFmtId="4" fontId="10" fillId="33" borderId="28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10" fillId="33" borderId="37" xfId="0" applyNumberFormat="1" applyFont="1" applyFill="1" applyBorder="1" applyAlignment="1">
      <alignment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" fontId="0" fillId="0" borderId="42" xfId="0" applyNumberFormat="1" applyFont="1" applyFill="1" applyBorder="1" applyAlignment="1">
      <alignment wrapText="1"/>
    </xf>
    <xf numFmtId="4" fontId="0" fillId="0" borderId="43" xfId="0" applyNumberFormat="1" applyFont="1" applyFill="1" applyBorder="1" applyAlignment="1">
      <alignment wrapText="1"/>
    </xf>
    <xf numFmtId="4" fontId="0" fillId="0" borderId="4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wrapText="1"/>
    </xf>
    <xf numFmtId="4" fontId="0" fillId="0" borderId="32" xfId="0" applyNumberFormat="1" applyFont="1" applyFill="1" applyBorder="1" applyAlignment="1">
      <alignment/>
    </xf>
    <xf numFmtId="4" fontId="10" fillId="33" borderId="40" xfId="0" applyNumberFormat="1" applyFont="1" applyFill="1" applyBorder="1" applyAlignment="1">
      <alignment/>
    </xf>
    <xf numFmtId="4" fontId="10" fillId="34" borderId="19" xfId="0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 wrapText="1"/>
    </xf>
    <xf numFmtId="164" fontId="12" fillId="33" borderId="45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0" fillId="0" borderId="31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wrapText="1"/>
    </xf>
    <xf numFmtId="4" fontId="0" fillId="0" borderId="24" xfId="0" applyNumberFormat="1" applyFont="1" applyFill="1" applyBorder="1" applyAlignment="1">
      <alignment/>
    </xf>
    <xf numFmtId="14" fontId="5" fillId="0" borderId="41" xfId="0" applyNumberFormat="1" applyFont="1" applyBorder="1" applyAlignment="1">
      <alignment/>
    </xf>
    <xf numFmtId="4" fontId="5" fillId="0" borderId="46" xfId="0" applyNumberFormat="1" applyFont="1" applyBorder="1" applyAlignment="1">
      <alignment wrapText="1"/>
    </xf>
    <xf numFmtId="4" fontId="5" fillId="0" borderId="47" xfId="0" applyNumberFormat="1" applyFont="1" applyBorder="1" applyAlignment="1">
      <alignment/>
    </xf>
    <xf numFmtId="4" fontId="5" fillId="0" borderId="39" xfId="0" applyNumberFormat="1" applyFont="1" applyBorder="1" applyAlignment="1">
      <alignment wrapText="1"/>
    </xf>
    <xf numFmtId="4" fontId="5" fillId="0" borderId="30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15" fillId="46" borderId="28" xfId="0" applyNumberFormat="1" applyFont="1" applyFill="1" applyBorder="1" applyAlignment="1">
      <alignment/>
    </xf>
    <xf numFmtId="4" fontId="15" fillId="46" borderId="39" xfId="0" applyNumberFormat="1" applyFont="1" applyFill="1" applyBorder="1" applyAlignment="1">
      <alignment wrapText="1"/>
    </xf>
    <xf numFmtId="4" fontId="15" fillId="46" borderId="28" xfId="0" applyNumberFormat="1" applyFont="1" applyFill="1" applyBorder="1" applyAlignment="1">
      <alignment/>
    </xf>
    <xf numFmtId="0" fontId="0" fillId="45" borderId="48" xfId="0" applyFont="1" applyFill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5" fillId="0" borderId="50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/>
    </xf>
    <xf numFmtId="4" fontId="5" fillId="0" borderId="53" xfId="0" applyNumberFormat="1" applyFont="1" applyFill="1" applyBorder="1" applyAlignment="1">
      <alignment horizont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56" xfId="0" applyNumberFormat="1" applyFont="1" applyBorder="1" applyAlignment="1">
      <alignment/>
    </xf>
    <xf numFmtId="4" fontId="5" fillId="0" borderId="57" xfId="0" applyNumberFormat="1" applyFont="1" applyBorder="1" applyAlignment="1">
      <alignment/>
    </xf>
    <xf numFmtId="4" fontId="5" fillId="0" borderId="58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4" fontId="5" fillId="0" borderId="60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23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/>
    </xf>
    <xf numFmtId="4" fontId="15" fillId="0" borderId="44" xfId="0" applyNumberFormat="1" applyFont="1" applyBorder="1" applyAlignment="1">
      <alignment vertical="center" wrapText="1"/>
    </xf>
    <xf numFmtId="4" fontId="5" fillId="0" borderId="39" xfId="0" applyNumberFormat="1" applyFont="1" applyBorder="1" applyAlignment="1">
      <alignment vertical="center" wrapText="1"/>
    </xf>
    <xf numFmtId="4" fontId="15" fillId="0" borderId="32" xfId="0" applyNumberFormat="1" applyFont="1" applyBorder="1" applyAlignment="1">
      <alignment vertical="center" wrapText="1"/>
    </xf>
    <xf numFmtId="4" fontId="15" fillId="34" borderId="62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4" fontId="15" fillId="33" borderId="37" xfId="0" applyNumberFormat="1" applyFont="1" applyFill="1" applyBorder="1" applyAlignment="1">
      <alignment/>
    </xf>
    <xf numFmtId="4" fontId="0" fillId="0" borderId="63" xfId="0" applyNumberFormat="1" applyFont="1" applyFill="1" applyBorder="1" applyAlignment="1">
      <alignment wrapText="1"/>
    </xf>
    <xf numFmtId="4" fontId="0" fillId="0" borderId="64" xfId="0" applyNumberFormat="1" applyFont="1" applyFill="1" applyBorder="1" applyAlignment="1">
      <alignment wrapText="1"/>
    </xf>
    <xf numFmtId="4" fontId="0" fillId="0" borderId="38" xfId="0" applyNumberFormat="1" applyFont="1" applyFill="1" applyBorder="1" applyAlignment="1">
      <alignment wrapText="1"/>
    </xf>
    <xf numFmtId="4" fontId="0" fillId="0" borderId="65" xfId="0" applyNumberFormat="1" applyFont="1" applyFill="1" applyBorder="1" applyAlignment="1">
      <alignment wrapText="1"/>
    </xf>
    <xf numFmtId="0" fontId="0" fillId="0" borderId="6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8" xfId="0" applyFont="1" applyBorder="1" applyAlignment="1">
      <alignment/>
    </xf>
    <xf numFmtId="4" fontId="15" fillId="33" borderId="69" xfId="0" applyNumberFormat="1" applyFont="1" applyFill="1" applyBorder="1" applyAlignment="1">
      <alignment/>
    </xf>
    <xf numFmtId="4" fontId="15" fillId="33" borderId="48" xfId="0" applyNumberFormat="1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4" fontId="15" fillId="33" borderId="75" xfId="0" applyNumberFormat="1" applyFont="1" applyFill="1" applyBorder="1" applyAlignment="1">
      <alignment/>
    </xf>
    <xf numFmtId="164" fontId="15" fillId="34" borderId="1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15" fillId="34" borderId="19" xfId="0" applyNumberFormat="1" applyFont="1" applyFill="1" applyBorder="1" applyAlignment="1">
      <alignment wrapText="1"/>
    </xf>
    <xf numFmtId="4" fontId="5" fillId="0" borderId="76" xfId="0" applyNumberFormat="1" applyFont="1" applyBorder="1" applyAlignment="1">
      <alignment vertical="center" wrapText="1"/>
    </xf>
    <xf numFmtId="0" fontId="0" fillId="44" borderId="77" xfId="0" applyFont="1" applyFill="1" applyBorder="1" applyAlignment="1">
      <alignment/>
    </xf>
    <xf numFmtId="4" fontId="0" fillId="44" borderId="78" xfId="0" applyNumberFormat="1" applyFont="1" applyFill="1" applyBorder="1" applyAlignment="1">
      <alignment wrapText="1"/>
    </xf>
    <xf numFmtId="4" fontId="15" fillId="46" borderId="23" xfId="0" applyNumberFormat="1" applyFont="1" applyFill="1" applyBorder="1" applyAlignment="1">
      <alignment/>
    </xf>
    <xf numFmtId="4" fontId="15" fillId="46" borderId="32" xfId="0" applyNumberFormat="1" applyFont="1" applyFill="1" applyBorder="1" applyAlignment="1">
      <alignment/>
    </xf>
    <xf numFmtId="4" fontId="15" fillId="46" borderId="44" xfId="0" applyNumberFormat="1" applyFont="1" applyFill="1" applyBorder="1" applyAlignment="1">
      <alignment/>
    </xf>
    <xf numFmtId="4" fontId="15" fillId="46" borderId="39" xfId="0" applyNumberFormat="1" applyFont="1" applyFill="1" applyBorder="1" applyAlignment="1">
      <alignment/>
    </xf>
    <xf numFmtId="4" fontId="15" fillId="46" borderId="62" xfId="0" applyNumberFormat="1" applyFont="1" applyFill="1" applyBorder="1" applyAlignment="1">
      <alignment/>
    </xf>
    <xf numFmtId="164" fontId="15" fillId="46" borderId="32" xfId="0" applyNumberFormat="1" applyFont="1" applyFill="1" applyBorder="1" applyAlignment="1">
      <alignment/>
    </xf>
    <xf numFmtId="164" fontId="15" fillId="46" borderId="62" xfId="0" applyNumberFormat="1" applyFont="1" applyFill="1" applyBorder="1" applyAlignment="1">
      <alignment/>
    </xf>
    <xf numFmtId="164" fontId="1" fillId="46" borderId="28" xfId="0" applyNumberFormat="1" applyFont="1" applyFill="1" applyBorder="1" applyAlignment="1">
      <alignment wrapText="1"/>
    </xf>
    <xf numFmtId="164" fontId="15" fillId="46" borderId="28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46" borderId="10" xfId="0" applyNumberFormat="1" applyFont="1" applyFill="1" applyBorder="1" applyAlignment="1">
      <alignment wrapText="1"/>
    </xf>
    <xf numFmtId="4" fontId="5" fillId="33" borderId="28" xfId="0" applyNumberFormat="1" applyFont="1" applyFill="1" applyBorder="1" applyAlignment="1">
      <alignment horizontal="center" vertical="center"/>
    </xf>
    <xf numFmtId="4" fontId="5" fillId="33" borderId="28" xfId="0" applyNumberFormat="1" applyFont="1" applyFill="1" applyBorder="1" applyAlignment="1">
      <alignment horizontal="center" vertical="center" wrapText="1"/>
    </xf>
    <xf numFmtId="4" fontId="5" fillId="38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center"/>
    </xf>
    <xf numFmtId="4" fontId="5" fillId="47" borderId="28" xfId="0" applyNumberFormat="1" applyFont="1" applyFill="1" applyBorder="1" applyAlignment="1">
      <alignment horizontal="center" vertical="center" wrapText="1"/>
    </xf>
    <xf numFmtId="4" fontId="5" fillId="40" borderId="28" xfId="0" applyNumberFormat="1" applyFont="1" applyFill="1" applyBorder="1" applyAlignment="1">
      <alignment horizontal="center" vertical="center" wrapText="1"/>
    </xf>
    <xf numFmtId="164" fontId="2" fillId="0" borderId="79" xfId="0" applyNumberFormat="1" applyFont="1" applyFill="1" applyBorder="1" applyAlignment="1">
      <alignment wrapText="1"/>
    </xf>
    <xf numFmtId="164" fontId="2" fillId="0" borderId="80" xfId="0" applyNumberFormat="1" applyFont="1" applyFill="1" applyBorder="1" applyAlignment="1">
      <alignment wrapText="1"/>
    </xf>
    <xf numFmtId="164" fontId="2" fillId="0" borderId="81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164" fontId="10" fillId="33" borderId="48" xfId="0" applyNumberFormat="1" applyFont="1" applyFill="1" applyBorder="1" applyAlignment="1">
      <alignment/>
    </xf>
    <xf numFmtId="4" fontId="0" fillId="48" borderId="28" xfId="0" applyNumberFormat="1" applyFont="1" applyFill="1" applyBorder="1" applyAlignment="1">
      <alignment/>
    </xf>
    <xf numFmtId="14" fontId="5" fillId="0" borderId="82" xfId="0" applyNumberFormat="1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2" fillId="48" borderId="28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4" fontId="15" fillId="33" borderId="83" xfId="0" applyNumberFormat="1" applyFont="1" applyFill="1" applyBorder="1" applyAlignment="1">
      <alignment/>
    </xf>
    <xf numFmtId="4" fontId="15" fillId="33" borderId="84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 wrapText="1"/>
    </xf>
    <xf numFmtId="164" fontId="2" fillId="0" borderId="68" xfId="0" applyNumberFormat="1" applyFont="1" applyFill="1" applyBorder="1" applyAlignment="1">
      <alignment wrapText="1"/>
    </xf>
    <xf numFmtId="164" fontId="2" fillId="0" borderId="39" xfId="0" applyNumberFormat="1" applyFont="1" applyFill="1" applyBorder="1" applyAlignment="1">
      <alignment wrapText="1"/>
    </xf>
    <xf numFmtId="164" fontId="1" fillId="33" borderId="85" xfId="0" applyNumberFormat="1" applyFont="1" applyFill="1" applyBorder="1" applyAlignment="1">
      <alignment wrapText="1"/>
    </xf>
    <xf numFmtId="4" fontId="5" fillId="0" borderId="0" xfId="0" applyNumberFormat="1" applyFont="1" applyAlignment="1">
      <alignment/>
    </xf>
    <xf numFmtId="0" fontId="5" fillId="0" borderId="23" xfId="0" applyFont="1" applyFill="1" applyBorder="1" applyAlignment="1">
      <alignment wrapText="1"/>
    </xf>
    <xf numFmtId="10" fontId="5" fillId="48" borderId="28" xfId="0" applyNumberFormat="1" applyFont="1" applyFill="1" applyBorder="1" applyAlignment="1">
      <alignment/>
    </xf>
    <xf numFmtId="4" fontId="5" fillId="48" borderId="0" xfId="0" applyNumberFormat="1" applyFont="1" applyFill="1" applyAlignment="1">
      <alignment/>
    </xf>
    <xf numFmtId="0" fontId="0" fillId="48" borderId="0" xfId="0" applyFont="1" applyFill="1" applyAlignment="1">
      <alignment/>
    </xf>
    <xf numFmtId="3" fontId="13" fillId="48" borderId="10" xfId="0" applyNumberFormat="1" applyFont="1" applyFill="1" applyBorder="1" applyAlignment="1">
      <alignment wrapText="1"/>
    </xf>
    <xf numFmtId="3" fontId="0" fillId="48" borderId="10" xfId="0" applyNumberFormat="1" applyFont="1" applyFill="1" applyBorder="1" applyAlignment="1">
      <alignment horizontal="center"/>
    </xf>
    <xf numFmtId="10" fontId="9" fillId="48" borderId="28" xfId="0" applyNumberFormat="1" applyFont="1" applyFill="1" applyBorder="1" applyAlignment="1">
      <alignment/>
    </xf>
    <xf numFmtId="0" fontId="0" fillId="48" borderId="10" xfId="0" applyFont="1" applyFill="1" applyBorder="1" applyAlignment="1">
      <alignment/>
    </xf>
    <xf numFmtId="4" fontId="0" fillId="48" borderId="0" xfId="0" applyNumberFormat="1" applyFont="1" applyFill="1" applyAlignment="1">
      <alignment/>
    </xf>
    <xf numFmtId="3" fontId="0" fillId="48" borderId="10" xfId="0" applyNumberFormat="1" applyFont="1" applyFill="1" applyBorder="1" applyAlignment="1">
      <alignment/>
    </xf>
    <xf numFmtId="4" fontId="0" fillId="48" borderId="24" xfId="0" applyNumberFormat="1" applyFont="1" applyFill="1" applyBorder="1" applyAlignment="1">
      <alignment wrapText="1"/>
    </xf>
    <xf numFmtId="164" fontId="18" fillId="0" borderId="28" xfId="0" applyNumberFormat="1" applyFont="1" applyFill="1" applyBorder="1" applyAlignment="1">
      <alignment wrapText="1"/>
    </xf>
    <xf numFmtId="4" fontId="0" fillId="0" borderId="86" xfId="0" applyNumberFormat="1" applyFont="1" applyFill="1" applyBorder="1" applyAlignment="1">
      <alignment wrapText="1"/>
    </xf>
    <xf numFmtId="4" fontId="11" fillId="0" borderId="86" xfId="0" applyNumberFormat="1" applyFont="1" applyFill="1" applyBorder="1" applyAlignment="1">
      <alignment wrapText="1"/>
    </xf>
    <xf numFmtId="0" fontId="2" fillId="48" borderId="10" xfId="0" applyNumberFormat="1" applyFont="1" applyFill="1" applyBorder="1" applyAlignment="1">
      <alignment/>
    </xf>
    <xf numFmtId="164" fontId="2" fillId="0" borderId="86" xfId="0" applyNumberFormat="1" applyFont="1" applyFill="1" applyBorder="1" applyAlignment="1">
      <alignment wrapText="1"/>
    </xf>
    <xf numFmtId="164" fontId="5" fillId="0" borderId="39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wrapText="1"/>
    </xf>
    <xf numFmtId="164" fontId="10" fillId="33" borderId="37" xfId="0" applyNumberFormat="1" applyFont="1" applyFill="1" applyBorder="1" applyAlignment="1">
      <alignment/>
    </xf>
    <xf numFmtId="164" fontId="15" fillId="0" borderId="32" xfId="0" applyNumberFormat="1" applyFont="1" applyFill="1" applyBorder="1" applyAlignment="1">
      <alignment wrapText="1"/>
    </xf>
    <xf numFmtId="14" fontId="5" fillId="0" borderId="87" xfId="0" applyNumberFormat="1" applyFont="1" applyBorder="1" applyAlignment="1">
      <alignment horizontal="center" wrapText="1"/>
    </xf>
    <xf numFmtId="4" fontId="5" fillId="0" borderId="28" xfId="0" applyNumberFormat="1" applyFont="1" applyFill="1" applyBorder="1" applyAlignment="1">
      <alignment/>
    </xf>
    <xf numFmtId="10" fontId="15" fillId="49" borderId="28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wrapText="1"/>
    </xf>
    <xf numFmtId="4" fontId="3" fillId="48" borderId="28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30" xfId="0" applyNumberFormat="1" applyFont="1" applyFill="1" applyBorder="1" applyAlignment="1">
      <alignment horizontal="center" wrapText="1"/>
    </xf>
    <xf numFmtId="4" fontId="3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11" fillId="0" borderId="79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 wrapText="1"/>
    </xf>
    <xf numFmtId="4" fontId="12" fillId="33" borderId="48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88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0" fontId="15" fillId="44" borderId="28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15" fillId="46" borderId="39" xfId="0" applyNumberFormat="1" applyFont="1" applyFill="1" applyBorder="1" applyAlignment="1">
      <alignment/>
    </xf>
    <xf numFmtId="4" fontId="15" fillId="33" borderId="89" xfId="0" applyNumberFormat="1" applyFont="1" applyFill="1" applyBorder="1" applyAlignment="1">
      <alignment/>
    </xf>
    <xf numFmtId="4" fontId="15" fillId="33" borderId="45" xfId="0" applyNumberFormat="1" applyFont="1" applyFill="1" applyBorder="1" applyAlignment="1">
      <alignment/>
    </xf>
    <xf numFmtId="164" fontId="2" fillId="0" borderId="9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48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35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 wrapText="1"/>
    </xf>
    <xf numFmtId="164" fontId="1" fillId="33" borderId="91" xfId="0" applyNumberFormat="1" applyFont="1" applyFill="1" applyBorder="1" applyAlignment="1">
      <alignment wrapText="1"/>
    </xf>
    <xf numFmtId="4" fontId="5" fillId="36" borderId="32" xfId="0" applyNumberFormat="1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0" fontId="15" fillId="50" borderId="28" xfId="0" applyNumberFormat="1" applyFont="1" applyFill="1" applyBorder="1" applyAlignment="1">
      <alignment/>
    </xf>
    <xf numFmtId="4" fontId="10" fillId="50" borderId="28" xfId="0" applyNumberFormat="1" applyFont="1" applyFill="1" applyBorder="1" applyAlignment="1">
      <alignment/>
    </xf>
    <xf numFmtId="10" fontId="15" fillId="51" borderId="28" xfId="0" applyNumberFormat="1" applyFont="1" applyFill="1" applyBorder="1" applyAlignment="1">
      <alignment/>
    </xf>
    <xf numFmtId="4" fontId="15" fillId="40" borderId="28" xfId="0" applyNumberFormat="1" applyFont="1" applyFill="1" applyBorder="1" applyAlignment="1">
      <alignment/>
    </xf>
    <xf numFmtId="4" fontId="5" fillId="48" borderId="2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4" fillId="37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164" fontId="1" fillId="33" borderId="48" xfId="0" applyNumberFormat="1" applyFont="1" applyFill="1" applyBorder="1" applyAlignment="1">
      <alignment wrapText="1"/>
    </xf>
    <xf numFmtId="164" fontId="0" fillId="0" borderId="28" xfId="0" applyNumberFormat="1" applyFont="1" applyFill="1" applyBorder="1" applyAlignment="1">
      <alignment/>
    </xf>
    <xf numFmtId="4" fontId="10" fillId="46" borderId="28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 wrapText="1"/>
    </xf>
    <xf numFmtId="4" fontId="11" fillId="0" borderId="86" xfId="0" applyNumberFormat="1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4" fontId="10" fillId="33" borderId="45" xfId="0" applyNumberFormat="1" applyFont="1" applyFill="1" applyBorder="1" applyAlignment="1">
      <alignment/>
    </xf>
    <xf numFmtId="3" fontId="0" fillId="48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15" fillId="43" borderId="28" xfId="0" applyNumberFormat="1" applyFont="1" applyFill="1" applyBorder="1" applyAlignment="1">
      <alignment/>
    </xf>
    <xf numFmtId="4" fontId="5" fillId="52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4" fontId="19" fillId="0" borderId="87" xfId="0" applyNumberFormat="1" applyFont="1" applyBorder="1" applyAlignment="1">
      <alignment horizontal="center" wrapText="1"/>
    </xf>
    <xf numFmtId="164" fontId="19" fillId="0" borderId="30" xfId="0" applyNumberFormat="1" applyFont="1" applyFill="1" applyBorder="1" applyAlignment="1">
      <alignment horizontal="center" wrapText="1"/>
    </xf>
    <xf numFmtId="164" fontId="19" fillId="0" borderId="28" xfId="0" applyNumberFormat="1" applyFont="1" applyFill="1" applyBorder="1" applyAlignment="1">
      <alignment wrapText="1"/>
    </xf>
    <xf numFmtId="164" fontId="23" fillId="46" borderId="28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wrapText="1"/>
    </xf>
    <xf numFmtId="4" fontId="19" fillId="48" borderId="10" xfId="0" applyNumberFormat="1" applyFont="1" applyFill="1" applyBorder="1" applyAlignment="1">
      <alignment/>
    </xf>
    <xf numFmtId="0" fontId="19" fillId="48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 wrapText="1"/>
    </xf>
    <xf numFmtId="164" fontId="19" fillId="0" borderId="14" xfId="0" applyNumberFormat="1" applyFont="1" applyFill="1" applyBorder="1" applyAlignment="1">
      <alignment wrapText="1"/>
    </xf>
    <xf numFmtId="164" fontId="23" fillId="33" borderId="37" xfId="0" applyNumberFormat="1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164" fontId="19" fillId="0" borderId="0" xfId="0" applyNumberFormat="1" applyFont="1" applyBorder="1" applyAlignment="1">
      <alignment wrapText="1"/>
    </xf>
    <xf numFmtId="164" fontId="19" fillId="0" borderId="0" xfId="0" applyNumberFormat="1" applyFont="1" applyAlignment="1">
      <alignment wrapText="1"/>
    </xf>
    <xf numFmtId="164" fontId="19" fillId="0" borderId="38" xfId="0" applyNumberFormat="1" applyFont="1" applyFill="1" applyBorder="1" applyAlignment="1">
      <alignment wrapText="1"/>
    </xf>
    <xf numFmtId="164" fontId="19" fillId="0" borderId="68" xfId="0" applyNumberFormat="1" applyFont="1" applyFill="1" applyBorder="1" applyAlignment="1">
      <alignment wrapText="1"/>
    </xf>
    <xf numFmtId="164" fontId="19" fillId="0" borderId="39" xfId="0" applyNumberFormat="1" applyFont="1" applyFill="1" applyBorder="1" applyAlignment="1">
      <alignment wrapText="1"/>
    </xf>
    <xf numFmtId="164" fontId="19" fillId="0" borderId="86" xfId="0" applyNumberFormat="1" applyFont="1" applyFill="1" applyBorder="1" applyAlignment="1">
      <alignment wrapText="1"/>
    </xf>
    <xf numFmtId="164" fontId="23" fillId="33" borderId="17" xfId="0" applyNumberFormat="1" applyFont="1" applyFill="1" applyBorder="1" applyAlignment="1">
      <alignment wrapText="1"/>
    </xf>
    <xf numFmtId="164" fontId="23" fillId="34" borderId="19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4" fontId="12" fillId="53" borderId="28" xfId="0" applyNumberFormat="1" applyFont="1" applyFill="1" applyBorder="1" applyAlignment="1">
      <alignment/>
    </xf>
    <xf numFmtId="4" fontId="12" fillId="42" borderId="28" xfId="0" applyNumberFormat="1" applyFont="1" applyFill="1" applyBorder="1" applyAlignment="1">
      <alignment/>
    </xf>
    <xf numFmtId="4" fontId="12" fillId="43" borderId="28" xfId="0" applyNumberFormat="1" applyFont="1" applyFill="1" applyBorder="1" applyAlignment="1">
      <alignment/>
    </xf>
    <xf numFmtId="4" fontId="12" fillId="44" borderId="28" xfId="0" applyNumberFormat="1" applyFont="1" applyFill="1" applyBorder="1" applyAlignment="1">
      <alignment/>
    </xf>
    <xf numFmtId="4" fontId="12" fillId="50" borderId="28" xfId="0" applyNumberFormat="1" applyFont="1" applyFill="1" applyBorder="1" applyAlignment="1">
      <alignment/>
    </xf>
    <xf numFmtId="4" fontId="12" fillId="51" borderId="28" xfId="0" applyNumberFormat="1" applyFont="1" applyFill="1" applyBorder="1" applyAlignment="1">
      <alignment/>
    </xf>
    <xf numFmtId="4" fontId="12" fillId="49" borderId="28" xfId="0" applyNumberFormat="1" applyFont="1" applyFill="1" applyBorder="1" applyAlignment="1">
      <alignment/>
    </xf>
    <xf numFmtId="10" fontId="4" fillId="54" borderId="28" xfId="47" applyNumberFormat="1" applyFont="1" applyFill="1" applyBorder="1" applyAlignment="1">
      <alignment/>
      <protection/>
    </xf>
    <xf numFmtId="4" fontId="12" fillId="54" borderId="28" xfId="0" applyNumberFormat="1" applyFont="1" applyFill="1" applyBorder="1" applyAlignment="1">
      <alignment/>
    </xf>
    <xf numFmtId="4" fontId="12" fillId="45" borderId="28" xfId="0" applyNumberFormat="1" applyFont="1" applyFill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68" xfId="0" applyNumberFormat="1" applyFont="1" applyBorder="1" applyAlignment="1">
      <alignment/>
    </xf>
    <xf numFmtId="4" fontId="15" fillId="46" borderId="39" xfId="0" applyNumberFormat="1" applyFont="1" applyFill="1" applyBorder="1" applyAlignment="1">
      <alignment/>
    </xf>
    <xf numFmtId="4" fontId="5" fillId="44" borderId="39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64" fontId="24" fillId="0" borderId="28" xfId="0" applyNumberFormat="1" applyFont="1" applyFill="1" applyBorder="1" applyAlignment="1">
      <alignment wrapText="1"/>
    </xf>
    <xf numFmtId="4" fontId="5" fillId="0" borderId="66" xfId="0" applyNumberFormat="1" applyFont="1" applyBorder="1" applyAlignment="1">
      <alignment vertical="center" wrapText="1"/>
    </xf>
    <xf numFmtId="4" fontId="5" fillId="0" borderId="34" xfId="0" applyNumberFormat="1" applyFont="1" applyBorder="1" applyAlignment="1">
      <alignment/>
    </xf>
    <xf numFmtId="4" fontId="15" fillId="0" borderId="67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/>
    </xf>
    <xf numFmtId="4" fontId="0" fillId="55" borderId="0" xfId="0" applyNumberFormat="1" applyFont="1" applyFill="1" applyAlignment="1">
      <alignment/>
    </xf>
    <xf numFmtId="4" fontId="10" fillId="33" borderId="19" xfId="0" applyNumberFormat="1" applyFont="1" applyFill="1" applyBorder="1" applyAlignment="1">
      <alignment/>
    </xf>
    <xf numFmtId="10" fontId="2" fillId="0" borderId="28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" fontId="5" fillId="0" borderId="32" xfId="0" applyNumberFormat="1" applyFont="1" applyFill="1" applyBorder="1" applyAlignment="1">
      <alignment/>
    </xf>
    <xf numFmtId="4" fontId="25" fillId="45" borderId="28" xfId="0" applyNumberFormat="1" applyFont="1" applyFill="1" applyBorder="1" applyAlignment="1">
      <alignment/>
    </xf>
    <xf numFmtId="4" fontId="25" fillId="0" borderId="28" xfId="0" applyNumberFormat="1" applyFont="1" applyFill="1" applyBorder="1" applyAlignment="1">
      <alignment/>
    </xf>
    <xf numFmtId="4" fontId="25" fillId="0" borderId="43" xfId="0" applyNumberFormat="1" applyFont="1" applyFill="1" applyBorder="1" applyAlignment="1">
      <alignment wrapText="1"/>
    </xf>
    <xf numFmtId="4" fontId="14" fillId="45" borderId="28" xfId="0" applyNumberFormat="1" applyFont="1" applyFill="1" applyBorder="1" applyAlignment="1">
      <alignment/>
    </xf>
    <xf numFmtId="4" fontId="0" fillId="0" borderId="93" xfId="0" applyNumberFormat="1" applyFont="1" applyFill="1" applyBorder="1" applyAlignment="1">
      <alignment horizontal="center" wrapText="1"/>
    </xf>
    <xf numFmtId="0" fontId="0" fillId="0" borderId="81" xfId="0" applyFont="1" applyFill="1" applyBorder="1" applyAlignment="1">
      <alignment horizontal="center" wrapText="1"/>
    </xf>
    <xf numFmtId="0" fontId="0" fillId="0" borderId="79" xfId="0" applyFont="1" applyFill="1" applyBorder="1" applyAlignment="1">
      <alignment wrapText="1"/>
    </xf>
    <xf numFmtId="0" fontId="10" fillId="35" borderId="79" xfId="0" applyFont="1" applyFill="1" applyBorder="1" applyAlignment="1">
      <alignment wrapText="1"/>
    </xf>
    <xf numFmtId="0" fontId="10" fillId="36" borderId="79" xfId="0" applyFont="1" applyFill="1" applyBorder="1" applyAlignment="1">
      <alignment wrapText="1"/>
    </xf>
    <xf numFmtId="0" fontId="0" fillId="0" borderId="79" xfId="0" applyFont="1" applyFill="1" applyBorder="1" applyAlignment="1">
      <alignment/>
    </xf>
    <xf numFmtId="0" fontId="10" fillId="37" borderId="79" xfId="0" applyFont="1" applyFill="1" applyBorder="1" applyAlignment="1">
      <alignment wrapText="1"/>
    </xf>
    <xf numFmtId="0" fontId="10" fillId="34" borderId="79" xfId="0" applyFont="1" applyFill="1" applyBorder="1" applyAlignment="1">
      <alignment wrapText="1"/>
    </xf>
    <xf numFmtId="0" fontId="10" fillId="38" borderId="79" xfId="0" applyFont="1" applyFill="1" applyBorder="1" applyAlignment="1">
      <alignment wrapText="1"/>
    </xf>
    <xf numFmtId="0" fontId="5" fillId="0" borderId="79" xfId="0" applyFont="1" applyFill="1" applyBorder="1" applyAlignment="1">
      <alignment wrapText="1"/>
    </xf>
    <xf numFmtId="0" fontId="10" fillId="39" borderId="79" xfId="0" applyFont="1" applyFill="1" applyBorder="1" applyAlignment="1">
      <alignment wrapText="1"/>
    </xf>
    <xf numFmtId="0" fontId="10" fillId="40" borderId="79" xfId="0" applyFont="1" applyFill="1" applyBorder="1" applyAlignment="1">
      <alignment wrapText="1"/>
    </xf>
    <xf numFmtId="0" fontId="10" fillId="41" borderId="79" xfId="0" applyFont="1" applyFill="1" applyBorder="1" applyAlignment="1">
      <alignment wrapText="1"/>
    </xf>
    <xf numFmtId="0" fontId="10" fillId="33" borderId="90" xfId="0" applyFont="1" applyFill="1" applyBorder="1" applyAlignment="1">
      <alignment wrapText="1"/>
    </xf>
    <xf numFmtId="4" fontId="0" fillId="48" borderId="90" xfId="0" applyNumberFormat="1" applyFont="1" applyFill="1" applyBorder="1" applyAlignment="1">
      <alignment wrapText="1"/>
    </xf>
    <xf numFmtId="0" fontId="0" fillId="0" borderId="90" xfId="0" applyFont="1" applyFill="1" applyBorder="1" applyAlignment="1">
      <alignment wrapText="1"/>
    </xf>
    <xf numFmtId="0" fontId="0" fillId="0" borderId="94" xfId="0" applyFont="1" applyFill="1" applyBorder="1" applyAlignment="1">
      <alignment wrapText="1"/>
    </xf>
    <xf numFmtId="0" fontId="10" fillId="33" borderId="95" xfId="0" applyFont="1" applyFill="1" applyBorder="1" applyAlignment="1">
      <alignment wrapText="1"/>
    </xf>
    <xf numFmtId="0" fontId="10" fillId="0" borderId="96" xfId="0" applyFont="1" applyFill="1" applyBorder="1" applyAlignment="1">
      <alignment wrapText="1"/>
    </xf>
    <xf numFmtId="0" fontId="0" fillId="0" borderId="97" xfId="0" applyFont="1" applyFill="1" applyBorder="1" applyAlignment="1">
      <alignment wrapText="1"/>
    </xf>
    <xf numFmtId="0" fontId="10" fillId="0" borderId="90" xfId="0" applyFont="1" applyFill="1" applyBorder="1" applyAlignment="1">
      <alignment wrapText="1"/>
    </xf>
    <xf numFmtId="0" fontId="10" fillId="33" borderId="91" xfId="0" applyFont="1" applyFill="1" applyBorder="1" applyAlignment="1">
      <alignment wrapText="1"/>
    </xf>
    <xf numFmtId="164" fontId="10" fillId="34" borderId="98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5" fillId="0" borderId="39" xfId="0" applyNumberFormat="1" applyFont="1" applyFill="1" applyBorder="1" applyAlignment="1">
      <alignment wrapText="1"/>
    </xf>
    <xf numFmtId="4" fontId="5" fillId="0" borderId="30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27" fillId="48" borderId="0" xfId="0" applyNumberFormat="1" applyFont="1" applyFill="1" applyBorder="1" applyAlignment="1">
      <alignment/>
    </xf>
    <xf numFmtId="4" fontId="14" fillId="40" borderId="28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 wrapText="1"/>
    </xf>
    <xf numFmtId="4" fontId="5" fillId="55" borderId="0" xfId="0" applyNumberFormat="1" applyFont="1" applyFill="1" applyAlignment="1">
      <alignment/>
    </xf>
    <xf numFmtId="4" fontId="15" fillId="34" borderId="99" xfId="0" applyNumberFormat="1" applyFont="1" applyFill="1" applyBorder="1" applyAlignment="1">
      <alignment/>
    </xf>
    <xf numFmtId="4" fontId="15" fillId="34" borderId="10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164" fontId="2" fillId="0" borderId="41" xfId="0" applyNumberFormat="1" applyFont="1" applyFill="1" applyBorder="1" applyAlignment="1">
      <alignment horizontal="center" wrapText="1"/>
    </xf>
    <xf numFmtId="164" fontId="2" fillId="0" borderId="101" xfId="0" applyNumberFormat="1" applyFont="1" applyFill="1" applyBorder="1" applyAlignment="1">
      <alignment horizontal="center" wrapText="1"/>
    </xf>
    <xf numFmtId="164" fontId="2" fillId="0" borderId="29" xfId="0" applyNumberFormat="1" applyFont="1" applyFill="1" applyBorder="1" applyAlignment="1">
      <alignment horizontal="center" wrapText="1"/>
    </xf>
    <xf numFmtId="164" fontId="2" fillId="0" borderId="33" xfId="0" applyNumberFormat="1" applyFont="1" applyFill="1" applyBorder="1" applyAlignment="1">
      <alignment horizontal="center" wrapText="1"/>
    </xf>
    <xf numFmtId="164" fontId="5" fillId="0" borderId="41" xfId="0" applyNumberFormat="1" applyFont="1" applyFill="1" applyBorder="1" applyAlignment="1">
      <alignment horizontal="center" wrapText="1"/>
    </xf>
    <xf numFmtId="164" fontId="5" fillId="0" borderId="101" xfId="0" applyNumberFormat="1" applyFont="1" applyFill="1" applyBorder="1" applyAlignment="1">
      <alignment horizontal="center" wrapText="1"/>
    </xf>
    <xf numFmtId="164" fontId="5" fillId="0" borderId="53" xfId="0" applyNumberFormat="1" applyFont="1" applyFill="1" applyBorder="1" applyAlignment="1">
      <alignment horizontal="center" wrapText="1"/>
    </xf>
    <xf numFmtId="164" fontId="5" fillId="0" borderId="28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 wrapText="1"/>
    </xf>
    <xf numFmtId="164" fontId="15" fillId="35" borderId="28" xfId="0" applyNumberFormat="1" applyFont="1" applyFill="1" applyBorder="1" applyAlignment="1">
      <alignment/>
    </xf>
    <xf numFmtId="164" fontId="15" fillId="36" borderId="28" xfId="0" applyNumberFormat="1" applyFont="1" applyFill="1" applyBorder="1" applyAlignment="1">
      <alignment/>
    </xf>
    <xf numFmtId="164" fontId="15" fillId="37" borderId="28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 horizontal="right"/>
    </xf>
    <xf numFmtId="164" fontId="15" fillId="34" borderId="28" xfId="0" applyNumberFormat="1" applyFont="1" applyFill="1" applyBorder="1" applyAlignment="1">
      <alignment/>
    </xf>
    <xf numFmtId="164" fontId="15" fillId="38" borderId="28" xfId="0" applyNumberFormat="1" applyFont="1" applyFill="1" applyBorder="1" applyAlignment="1">
      <alignment/>
    </xf>
    <xf numFmtId="164" fontId="15" fillId="39" borderId="28" xfId="0" applyNumberFormat="1" applyFont="1" applyFill="1" applyBorder="1" applyAlignment="1">
      <alignment/>
    </xf>
    <xf numFmtId="164" fontId="15" fillId="40" borderId="28" xfId="0" applyNumberFormat="1" applyFont="1" applyFill="1" applyBorder="1" applyAlignment="1">
      <alignment/>
    </xf>
    <xf numFmtId="164" fontId="15" fillId="33" borderId="28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 wrapText="1"/>
    </xf>
    <xf numFmtId="164" fontId="5" fillId="0" borderId="36" xfId="0" applyNumberFormat="1" applyFont="1" applyFill="1" applyBorder="1" applyAlignment="1">
      <alignment/>
    </xf>
    <xf numFmtId="164" fontId="15" fillId="33" borderId="37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38" xfId="0" applyNumberFormat="1" applyFont="1" applyFill="1" applyBorder="1" applyAlignment="1">
      <alignment/>
    </xf>
    <xf numFmtId="164" fontId="5" fillId="0" borderId="102" xfId="0" applyNumberFormat="1" applyFont="1" applyFill="1" applyBorder="1" applyAlignment="1">
      <alignment wrapText="1"/>
    </xf>
    <xf numFmtId="164" fontId="5" fillId="0" borderId="31" xfId="0" applyNumberFormat="1" applyFont="1" applyFill="1" applyBorder="1" applyAlignment="1">
      <alignment/>
    </xf>
    <xf numFmtId="164" fontId="5" fillId="0" borderId="42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5" fillId="0" borderId="103" xfId="0" applyNumberFormat="1" applyFont="1" applyFill="1" applyBorder="1" applyAlignment="1">
      <alignment wrapText="1"/>
    </xf>
    <xf numFmtId="164" fontId="5" fillId="0" borderId="34" xfId="0" applyNumberFormat="1" applyFont="1" applyFill="1" applyBorder="1" applyAlignment="1">
      <alignment/>
    </xf>
    <xf numFmtId="164" fontId="5" fillId="0" borderId="104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5" fillId="0" borderId="43" xfId="0" applyNumberFormat="1" applyFont="1" applyFill="1" applyBorder="1" applyAlignment="1">
      <alignment/>
    </xf>
    <xf numFmtId="164" fontId="5" fillId="0" borderId="86" xfId="0" applyNumberFormat="1" applyFont="1" applyFill="1" applyBorder="1" applyAlignment="1">
      <alignment wrapText="1"/>
    </xf>
    <xf numFmtId="0" fontId="5" fillId="0" borderId="32" xfId="0" applyNumberFormat="1" applyFont="1" applyFill="1" applyBorder="1" applyAlignment="1">
      <alignment wrapText="1"/>
    </xf>
    <xf numFmtId="164" fontId="5" fillId="0" borderId="86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 horizontal="center"/>
    </xf>
    <xf numFmtId="164" fontId="15" fillId="33" borderId="48" xfId="0" applyNumberFormat="1" applyFont="1" applyFill="1" applyBorder="1" applyAlignment="1">
      <alignment/>
    </xf>
    <xf numFmtId="164" fontId="15" fillId="33" borderId="40" xfId="0" applyNumberFormat="1" applyFont="1" applyFill="1" applyBorder="1" applyAlignment="1">
      <alignment/>
    </xf>
    <xf numFmtId="164" fontId="15" fillId="33" borderId="105" xfId="0" applyNumberFormat="1" applyFont="1" applyFill="1" applyBorder="1" applyAlignment="1">
      <alignment/>
    </xf>
    <xf numFmtId="164" fontId="5" fillId="48" borderId="28" xfId="0" applyNumberFormat="1" applyFont="1" applyFill="1" applyBorder="1" applyAlignment="1">
      <alignment/>
    </xf>
    <xf numFmtId="164" fontId="5" fillId="48" borderId="28" xfId="0" applyNumberFormat="1" applyFont="1" applyFill="1" applyBorder="1" applyAlignment="1">
      <alignment/>
    </xf>
    <xf numFmtId="164" fontId="15" fillId="33" borderId="19" xfId="0" applyNumberFormat="1" applyFont="1" applyFill="1" applyBorder="1" applyAlignment="1">
      <alignment/>
    </xf>
    <xf numFmtId="164" fontId="5" fillId="0" borderId="106" xfId="0" applyNumberFormat="1" applyFont="1" applyFill="1" applyBorder="1" applyAlignment="1">
      <alignment/>
    </xf>
    <xf numFmtId="164" fontId="5" fillId="0" borderId="107" xfId="0" applyNumberFormat="1" applyFont="1" applyFill="1" applyBorder="1" applyAlignment="1">
      <alignment/>
    </xf>
    <xf numFmtId="164" fontId="5" fillId="0" borderId="28" xfId="0" applyNumberFormat="1" applyFont="1" applyBorder="1" applyAlignment="1">
      <alignment wrapText="1"/>
    </xf>
    <xf numFmtId="164" fontId="15" fillId="33" borderId="108" xfId="0" applyNumberFormat="1" applyFont="1" applyFill="1" applyBorder="1" applyAlignment="1">
      <alignment/>
    </xf>
    <xf numFmtId="164" fontId="15" fillId="34" borderId="109" xfId="0" applyNumberFormat="1" applyFont="1" applyFill="1" applyBorder="1" applyAlignment="1">
      <alignment/>
    </xf>
    <xf numFmtId="164" fontId="15" fillId="34" borderId="19" xfId="0" applyNumberFormat="1" applyFont="1" applyFill="1" applyBorder="1" applyAlignment="1">
      <alignment/>
    </xf>
    <xf numFmtId="164" fontId="15" fillId="34" borderId="109" xfId="0" applyNumberFormat="1" applyFont="1" applyFill="1" applyBorder="1" applyAlignment="1">
      <alignment/>
    </xf>
    <xf numFmtId="4" fontId="10" fillId="34" borderId="109" xfId="0" applyNumberFormat="1" applyFont="1" applyFill="1" applyBorder="1" applyAlignment="1">
      <alignment/>
    </xf>
    <xf numFmtId="4" fontId="1" fillId="33" borderId="40" xfId="0" applyNumberFormat="1" applyFont="1" applyFill="1" applyBorder="1" applyAlignment="1">
      <alignment/>
    </xf>
    <xf numFmtId="4" fontId="23" fillId="34" borderId="19" xfId="0" applyNumberFormat="1" applyFont="1" applyFill="1" applyBorder="1" applyAlignment="1">
      <alignment/>
    </xf>
    <xf numFmtId="4" fontId="1" fillId="33" borderId="28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" fontId="10" fillId="44" borderId="2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0" fillId="0" borderId="28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25" fillId="0" borderId="79" xfId="0" applyNumberFormat="1" applyFont="1" applyFill="1" applyBorder="1" applyAlignment="1">
      <alignment/>
    </xf>
    <xf numFmtId="4" fontId="25" fillId="0" borderId="28" xfId="0" applyNumberFormat="1" applyFont="1" applyFill="1" applyBorder="1" applyAlignment="1">
      <alignment wrapText="1"/>
    </xf>
    <xf numFmtId="4" fontId="11" fillId="0" borderId="43" xfId="0" applyNumberFormat="1" applyFont="1" applyFill="1" applyBorder="1" applyAlignment="1">
      <alignment wrapText="1"/>
    </xf>
    <xf numFmtId="4" fontId="26" fillId="0" borderId="43" xfId="0" applyNumberFormat="1" applyFont="1" applyFill="1" applyBorder="1" applyAlignment="1">
      <alignment wrapText="1"/>
    </xf>
    <xf numFmtId="0" fontId="5" fillId="0" borderId="35" xfId="0" applyNumberFormat="1" applyFont="1" applyBorder="1" applyAlignment="1">
      <alignment/>
    </xf>
    <xf numFmtId="10" fontId="5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10" fontId="15" fillId="35" borderId="28" xfId="0" applyNumberFormat="1" applyFont="1" applyFill="1" applyBorder="1" applyAlignment="1">
      <alignment/>
    </xf>
    <xf numFmtId="4" fontId="15" fillId="35" borderId="28" xfId="0" applyNumberFormat="1" applyFont="1" applyFill="1" applyBorder="1" applyAlignment="1">
      <alignment/>
    </xf>
    <xf numFmtId="10" fontId="4" fillId="53" borderId="28" xfId="0" applyNumberFormat="1" applyFont="1" applyFill="1" applyBorder="1" applyAlignment="1">
      <alignment/>
    </xf>
    <xf numFmtId="164" fontId="15" fillId="46" borderId="28" xfId="0" applyNumberFormat="1" applyFont="1" applyFill="1" applyBorder="1" applyAlignment="1">
      <alignment wrapText="1"/>
    </xf>
    <xf numFmtId="10" fontId="15" fillId="42" borderId="28" xfId="0" applyNumberFormat="1" applyFont="1" applyFill="1" applyBorder="1" applyAlignment="1">
      <alignment/>
    </xf>
    <xf numFmtId="4" fontId="15" fillId="36" borderId="47" xfId="0" applyNumberFormat="1" applyFont="1" applyFill="1" applyBorder="1" applyAlignment="1">
      <alignment/>
    </xf>
    <xf numFmtId="4" fontId="15" fillId="56" borderId="28" xfId="0" applyNumberFormat="1" applyFont="1" applyFill="1" applyBorder="1" applyAlignment="1">
      <alignment/>
    </xf>
    <xf numFmtId="10" fontId="15" fillId="43" borderId="28" xfId="0" applyNumberFormat="1" applyFont="1" applyFill="1" applyBorder="1" applyAlignment="1">
      <alignment/>
    </xf>
    <xf numFmtId="4" fontId="5" fillId="45" borderId="0" xfId="0" applyNumberFormat="1" applyFont="1" applyFill="1" applyAlignment="1">
      <alignment/>
    </xf>
    <xf numFmtId="4" fontId="5" fillId="33" borderId="32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5" fillId="55" borderId="28" xfId="0" applyNumberFormat="1" applyFont="1" applyFill="1" applyBorder="1" applyAlignment="1">
      <alignment/>
    </xf>
    <xf numFmtId="4" fontId="15" fillId="34" borderId="28" xfId="0" applyNumberFormat="1" applyFont="1" applyFill="1" applyBorder="1" applyAlignment="1">
      <alignment/>
    </xf>
    <xf numFmtId="4" fontId="5" fillId="33" borderId="32" xfId="0" applyNumberFormat="1" applyFont="1" applyFill="1" applyBorder="1" applyAlignment="1">
      <alignment/>
    </xf>
    <xf numFmtId="4" fontId="0" fillId="55" borderId="28" xfId="0" applyNumberFormat="1" applyFont="1" applyFill="1" applyBorder="1" applyAlignment="1">
      <alignment/>
    </xf>
    <xf numFmtId="4" fontId="15" fillId="50" borderId="28" xfId="0" applyNumberFormat="1" applyFont="1" applyFill="1" applyBorder="1" applyAlignment="1">
      <alignment/>
    </xf>
    <xf numFmtId="4" fontId="0" fillId="39" borderId="28" xfId="0" applyNumberFormat="1" applyFont="1" applyFill="1" applyBorder="1" applyAlignment="1">
      <alignment/>
    </xf>
    <xf numFmtId="4" fontId="5" fillId="39" borderId="28" xfId="0" applyNumberFormat="1" applyFont="1" applyFill="1" applyBorder="1" applyAlignment="1">
      <alignment/>
    </xf>
    <xf numFmtId="4" fontId="5" fillId="38" borderId="32" xfId="0" applyNumberFormat="1" applyFont="1" applyFill="1" applyBorder="1" applyAlignment="1">
      <alignment vertical="center"/>
    </xf>
    <xf numFmtId="10" fontId="15" fillId="57" borderId="28" xfId="0" applyNumberFormat="1" applyFont="1" applyFill="1" applyBorder="1" applyAlignment="1">
      <alignment/>
    </xf>
    <xf numFmtId="4" fontId="5" fillId="48" borderId="10" xfId="0" applyNumberFormat="1" applyFont="1" applyFill="1" applyBorder="1" applyAlignment="1">
      <alignment/>
    </xf>
    <xf numFmtId="0" fontId="5" fillId="48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4" fontId="5" fillId="47" borderId="32" xfId="0" applyNumberFormat="1" applyFont="1" applyFill="1" applyBorder="1" applyAlignment="1">
      <alignment vertical="center"/>
    </xf>
    <xf numFmtId="4" fontId="5" fillId="40" borderId="32" xfId="0" applyNumberFormat="1" applyFont="1" applyFill="1" applyBorder="1" applyAlignment="1">
      <alignment vertical="center"/>
    </xf>
    <xf numFmtId="164" fontId="14" fillId="0" borderId="28" xfId="0" applyNumberFormat="1" applyFont="1" applyFill="1" applyBorder="1" applyAlignment="1">
      <alignment wrapText="1"/>
    </xf>
    <xf numFmtId="4" fontId="5" fillId="56" borderId="32" xfId="0" applyNumberFormat="1" applyFont="1" applyFill="1" applyBorder="1" applyAlignment="1">
      <alignment/>
    </xf>
    <xf numFmtId="4" fontId="15" fillId="36" borderId="32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30" xfId="0" applyNumberFormat="1" applyFont="1" applyBorder="1" applyAlignment="1">
      <alignment/>
    </xf>
    <xf numFmtId="164" fontId="5" fillId="0" borderId="14" xfId="0" applyNumberFormat="1" applyFont="1" applyFill="1" applyBorder="1" applyAlignment="1">
      <alignment wrapText="1"/>
    </xf>
    <xf numFmtId="164" fontId="15" fillId="33" borderId="37" xfId="0" applyNumberFormat="1" applyFont="1" applyFill="1" applyBorder="1" applyAlignment="1">
      <alignment wrapText="1"/>
    </xf>
    <xf numFmtId="4" fontId="15" fillId="33" borderId="110" xfId="0" applyNumberFormat="1" applyFont="1" applyFill="1" applyBorder="1" applyAlignment="1">
      <alignment/>
    </xf>
    <xf numFmtId="4" fontId="15" fillId="33" borderId="111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164" fontId="5" fillId="0" borderId="38" xfId="0" applyNumberFormat="1" applyFont="1" applyFill="1" applyBorder="1" applyAlignment="1">
      <alignment wrapText="1"/>
    </xf>
    <xf numFmtId="164" fontId="5" fillId="0" borderId="68" xfId="0" applyNumberFormat="1" applyFont="1" applyFill="1" applyBorder="1" applyAlignment="1">
      <alignment wrapText="1"/>
    </xf>
    <xf numFmtId="4" fontId="0" fillId="50" borderId="28" xfId="0" applyNumberFormat="1" applyFont="1" applyFill="1" applyBorder="1" applyAlignment="1">
      <alignment/>
    </xf>
    <xf numFmtId="4" fontId="14" fillId="58" borderId="0" xfId="0" applyNumberFormat="1" applyFont="1" applyFill="1" applyAlignment="1">
      <alignment/>
    </xf>
    <xf numFmtId="4" fontId="15" fillId="48" borderId="28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23" xfId="0" applyNumberFormat="1" applyFont="1" applyFill="1" applyBorder="1" applyAlignment="1">
      <alignment vertical="center" wrapText="1"/>
    </xf>
    <xf numFmtId="4" fontId="15" fillId="0" borderId="44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 vertical="center" wrapText="1"/>
    </xf>
    <xf numFmtId="4" fontId="15" fillId="0" borderId="32" xfId="0" applyNumberFormat="1" applyFont="1" applyFill="1" applyBorder="1" applyAlignment="1">
      <alignment vertical="center" wrapText="1"/>
    </xf>
    <xf numFmtId="4" fontId="15" fillId="0" borderId="62" xfId="0" applyNumberFormat="1" applyFont="1" applyFill="1" applyBorder="1" applyAlignment="1">
      <alignment vertical="center" wrapText="1"/>
    </xf>
    <xf numFmtId="4" fontId="25" fillId="0" borderId="3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0" fontId="4" fillId="45" borderId="48" xfId="0" applyNumberFormat="1" applyFont="1" applyFill="1" applyBorder="1" applyAlignment="1">
      <alignment/>
    </xf>
    <xf numFmtId="164" fontId="15" fillId="33" borderId="112" xfId="0" applyNumberFormat="1" applyFont="1" applyFill="1" applyBorder="1" applyAlignment="1">
      <alignment/>
    </xf>
    <xf numFmtId="164" fontId="15" fillId="33" borderId="17" xfId="0" applyNumberFormat="1" applyFont="1" applyFill="1" applyBorder="1" applyAlignment="1">
      <alignment wrapText="1"/>
    </xf>
    <xf numFmtId="4" fontId="15" fillId="33" borderId="113" xfId="0" applyNumberFormat="1" applyFont="1" applyFill="1" applyBorder="1" applyAlignment="1">
      <alignment/>
    </xf>
    <xf numFmtId="4" fontId="15" fillId="34" borderId="114" xfId="0" applyNumberFormat="1" applyFont="1" applyFill="1" applyBorder="1" applyAlignment="1">
      <alignment/>
    </xf>
    <xf numFmtId="4" fontId="15" fillId="34" borderId="115" xfId="0" applyNumberFormat="1" applyFont="1" applyFill="1" applyBorder="1" applyAlignment="1">
      <alignment/>
    </xf>
    <xf numFmtId="4" fontId="15" fillId="34" borderId="75" xfId="0" applyNumberFormat="1" applyFont="1" applyFill="1" applyBorder="1" applyAlignment="1">
      <alignment vertical="center" wrapText="1"/>
    </xf>
    <xf numFmtId="4" fontId="15" fillId="34" borderId="116" xfId="0" applyNumberFormat="1" applyFont="1" applyFill="1" applyBorder="1" applyAlignment="1">
      <alignment horizontal="right" wrapText="1"/>
    </xf>
    <xf numFmtId="4" fontId="15" fillId="34" borderId="117" xfId="0" applyNumberFormat="1" applyFont="1" applyFill="1" applyBorder="1" applyAlignment="1">
      <alignment/>
    </xf>
    <xf numFmtId="4" fontId="15" fillId="34" borderId="118" xfId="0" applyNumberFormat="1" applyFont="1" applyFill="1" applyBorder="1" applyAlignment="1">
      <alignment/>
    </xf>
    <xf numFmtId="4" fontId="0" fillId="0" borderId="119" xfId="0" applyNumberFormat="1" applyFont="1" applyFill="1" applyBorder="1" applyAlignment="1">
      <alignment horizontal="center" wrapText="1"/>
    </xf>
    <xf numFmtId="4" fontId="15" fillId="34" borderId="78" xfId="0" applyNumberFormat="1" applyFont="1" applyFill="1" applyBorder="1" applyAlignment="1">
      <alignment horizontal="center" vertical="center" wrapText="1"/>
    </xf>
    <xf numFmtId="4" fontId="15" fillId="34" borderId="120" xfId="0" applyNumberFormat="1" applyFont="1" applyFill="1" applyBorder="1" applyAlignment="1">
      <alignment horizontal="center" vertical="center" wrapText="1"/>
    </xf>
    <xf numFmtId="164" fontId="15" fillId="0" borderId="121" xfId="0" applyNumberFormat="1" applyFont="1" applyFill="1" applyBorder="1" applyAlignment="1">
      <alignment horizontal="center"/>
    </xf>
    <xf numFmtId="164" fontId="5" fillId="0" borderId="122" xfId="0" applyNumberFormat="1" applyFont="1" applyBorder="1" applyAlignment="1">
      <alignment/>
    </xf>
    <xf numFmtId="164" fontId="5" fillId="0" borderId="123" xfId="0" applyNumberFormat="1" applyFont="1" applyBorder="1" applyAlignment="1">
      <alignment/>
    </xf>
    <xf numFmtId="4" fontId="15" fillId="0" borderId="124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64" xfId="0" applyNumberFormat="1" applyFont="1" applyBorder="1" applyAlignment="1">
      <alignment horizontal="center"/>
    </xf>
    <xf numFmtId="4" fontId="15" fillId="0" borderId="65" xfId="0" applyNumberFormat="1" applyFont="1" applyBorder="1" applyAlignment="1">
      <alignment horizontal="center"/>
    </xf>
    <xf numFmtId="0" fontId="10" fillId="59" borderId="121" xfId="0" applyFont="1" applyFill="1" applyBorder="1" applyAlignment="1">
      <alignment horizontal="center"/>
    </xf>
    <xf numFmtId="0" fontId="0" fillId="0" borderId="122" xfId="0" applyFont="1" applyBorder="1" applyAlignment="1">
      <alignment/>
    </xf>
    <xf numFmtId="0" fontId="0" fillId="0" borderId="123" xfId="0" applyFont="1" applyBorder="1" applyAlignment="1">
      <alignment/>
    </xf>
    <xf numFmtId="0" fontId="10" fillId="45" borderId="121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2"/>
  <sheetViews>
    <sheetView tabSelected="1" zoomScale="80" zoomScaleNormal="80" zoomScalePageLayoutView="0" workbookViewId="0" topLeftCell="A1">
      <pane xSplit="3" ySplit="4" topLeftCell="D13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66" sqref="D166"/>
    </sheetView>
  </sheetViews>
  <sheetFormatPr defaultColWidth="10.57421875" defaultRowHeight="12.75"/>
  <cols>
    <col min="1" max="1" width="35.57421875" style="22" customWidth="1"/>
    <col min="2" max="2" width="2.57421875" style="22" hidden="1" customWidth="1"/>
    <col min="3" max="3" width="7.7109375" style="43" customWidth="1"/>
    <col min="4" max="4" width="8.57421875" style="404" customWidth="1"/>
    <col min="5" max="5" width="5.8515625" style="404" customWidth="1"/>
    <col min="6" max="7" width="6.7109375" style="404" customWidth="1"/>
    <col min="8" max="9" width="7.28125" style="404" customWidth="1"/>
    <col min="10" max="10" width="8.57421875" style="43" customWidth="1"/>
    <col min="11" max="11" width="14.8515625" style="90" customWidth="1"/>
    <col min="12" max="12" width="8.7109375" style="53" customWidth="1"/>
    <col min="13" max="13" width="11.7109375" style="197" hidden="1" customWidth="1"/>
    <col min="14" max="14" width="2.57421875" style="11" customWidth="1"/>
    <col min="15" max="15" width="24.421875" style="1" customWidth="1"/>
    <col min="16" max="16" width="7.7109375" style="43" customWidth="1"/>
    <col min="17" max="17" width="8.57421875" style="404" customWidth="1"/>
    <col min="18" max="18" width="5.28125" style="404" customWidth="1"/>
    <col min="19" max="20" width="6.7109375" style="404" customWidth="1"/>
    <col min="21" max="21" width="5.28125" style="404" customWidth="1"/>
    <col min="22" max="22" width="6.7109375" style="404" customWidth="1"/>
    <col min="23" max="23" width="8.57421875" style="43" customWidth="1"/>
    <col min="24" max="24" width="14.8515625" style="90" customWidth="1"/>
    <col min="25" max="25" width="8.7109375" style="53" customWidth="1"/>
    <col min="26" max="26" width="12.28125" style="147" hidden="1" customWidth="1"/>
    <col min="27" max="27" width="14.28125" style="238" hidden="1" customWidth="1"/>
    <col min="28" max="28" width="14.8515625" style="90" hidden="1" customWidth="1"/>
    <col min="29" max="29" width="25.7109375" style="84" hidden="1" customWidth="1"/>
    <col min="30" max="30" width="35.57421875" style="84" hidden="1" customWidth="1"/>
    <col min="31" max="31" width="38.57421875" style="84" hidden="1" customWidth="1"/>
    <col min="32" max="32" width="35.57421875" style="84" hidden="1" customWidth="1"/>
    <col min="33" max="33" width="43.140625" style="84" hidden="1" customWidth="1"/>
    <col min="34" max="34" width="60.57421875" style="84" hidden="1" customWidth="1"/>
    <col min="35" max="36" width="30.57421875" style="306" hidden="1" customWidth="1"/>
    <col min="37" max="37" width="30.7109375" style="43" hidden="1" customWidth="1"/>
    <col min="38" max="39" width="42.7109375" style="43" hidden="1" customWidth="1"/>
    <col min="40" max="40" width="12.57421875" style="238" hidden="1" customWidth="1"/>
    <col min="41" max="41" width="12.421875" style="11" hidden="1" customWidth="1"/>
    <col min="42" max="42" width="15.8515625" style="90" hidden="1" customWidth="1"/>
    <col min="43" max="43" width="20.57421875" style="11" hidden="1" customWidth="1"/>
    <col min="44" max="44" width="11.8515625" style="11" hidden="1" customWidth="1"/>
    <col min="45" max="46" width="2.57421875" style="11" customWidth="1"/>
    <col min="47" max="47" width="13.00390625" style="11" bestFit="1" customWidth="1"/>
    <col min="48" max="48" width="13.8515625" style="11" bestFit="1" customWidth="1"/>
    <col min="49" max="49" width="13.00390625" style="11" bestFit="1" customWidth="1"/>
    <col min="50" max="51" width="20.7109375" style="11" customWidth="1"/>
    <col min="52" max="52" width="12.7109375" style="11" customWidth="1"/>
    <col min="53" max="53" width="12.140625" style="11" bestFit="1" customWidth="1"/>
    <col min="54" max="54" width="12.8515625" style="11" bestFit="1" customWidth="1"/>
    <col min="55" max="55" width="12.28125" style="11" bestFit="1" customWidth="1"/>
    <col min="56" max="56" width="5.00390625" style="11" hidden="1" customWidth="1"/>
    <col min="57" max="16384" width="10.57421875" style="11" customWidth="1"/>
  </cols>
  <sheetData>
    <row r="1" spans="1:39" s="197" customFormat="1" ht="13.5" thickBot="1">
      <c r="A1" s="251"/>
      <c r="C1" s="111"/>
      <c r="D1" s="111"/>
      <c r="E1" s="111"/>
      <c r="F1" s="111"/>
      <c r="G1" s="111"/>
      <c r="H1" s="111"/>
      <c r="I1" s="111"/>
      <c r="J1" s="111"/>
      <c r="K1" s="375"/>
      <c r="L1" s="291"/>
      <c r="O1" s="291"/>
      <c r="P1" s="111"/>
      <c r="Q1" s="111"/>
      <c r="R1" s="111"/>
      <c r="S1" s="111"/>
      <c r="T1" s="111"/>
      <c r="U1" s="111"/>
      <c r="V1" s="111"/>
      <c r="W1" s="111"/>
      <c r="Y1" s="291"/>
      <c r="AB1" s="340"/>
      <c r="AI1" s="292"/>
      <c r="AJ1" s="292"/>
      <c r="AK1" s="111"/>
      <c r="AL1" s="111"/>
      <c r="AM1" s="111"/>
    </row>
    <row r="2" spans="1:55" ht="19.5" customHeight="1" thickBot="1" thickTop="1">
      <c r="A2" s="251"/>
      <c r="B2" s="214"/>
      <c r="C2" s="519" t="s">
        <v>0</v>
      </c>
      <c r="D2" s="520"/>
      <c r="E2" s="520"/>
      <c r="F2" s="520"/>
      <c r="G2" s="520"/>
      <c r="H2" s="520"/>
      <c r="I2" s="520"/>
      <c r="J2" s="521"/>
      <c r="K2" s="450"/>
      <c r="L2" s="54"/>
      <c r="O2" s="314"/>
      <c r="P2" s="519" t="s">
        <v>61</v>
      </c>
      <c r="Q2" s="520"/>
      <c r="R2" s="520"/>
      <c r="S2" s="520"/>
      <c r="T2" s="520"/>
      <c r="U2" s="520"/>
      <c r="V2" s="520"/>
      <c r="W2" s="521"/>
      <c r="X2" s="265"/>
      <c r="Y2" s="54"/>
      <c r="AA2" s="529" t="s">
        <v>163</v>
      </c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8"/>
      <c r="AO2" s="526" t="s">
        <v>168</v>
      </c>
      <c r="AP2" s="527"/>
      <c r="AQ2" s="527"/>
      <c r="AR2" s="528"/>
      <c r="AU2" s="522" t="s">
        <v>169</v>
      </c>
      <c r="AV2" s="523"/>
      <c r="AW2" s="524"/>
      <c r="AX2" s="125"/>
      <c r="AY2" s="126"/>
      <c r="AZ2" s="525" t="s">
        <v>170</v>
      </c>
      <c r="BA2" s="523"/>
      <c r="BB2" s="523"/>
      <c r="BC2" s="517" t="s">
        <v>171</v>
      </c>
    </row>
    <row r="3" spans="1:55" s="12" customFormat="1" ht="31.5" customHeight="1" thickBot="1">
      <c r="A3" s="516"/>
      <c r="B3" s="346"/>
      <c r="C3" s="381" t="s">
        <v>112</v>
      </c>
      <c r="D3" s="382" t="s">
        <v>1</v>
      </c>
      <c r="E3" s="383" t="s">
        <v>113</v>
      </c>
      <c r="F3" s="383" t="s">
        <v>682</v>
      </c>
      <c r="G3" s="384" t="s">
        <v>492</v>
      </c>
      <c r="H3" s="384" t="s">
        <v>629</v>
      </c>
      <c r="I3" s="384" t="s">
        <v>114</v>
      </c>
      <c r="J3" s="387" t="s">
        <v>121</v>
      </c>
      <c r="K3" s="91" t="s">
        <v>631</v>
      </c>
      <c r="L3" s="451">
        <f>12/12</f>
        <v>1</v>
      </c>
      <c r="M3" s="197"/>
      <c r="N3" s="11"/>
      <c r="O3" s="7"/>
      <c r="P3" s="385" t="s">
        <v>112</v>
      </c>
      <c r="Q3" s="386" t="s">
        <v>1</v>
      </c>
      <c r="R3" s="44" t="s">
        <v>113</v>
      </c>
      <c r="S3" s="44" t="s">
        <v>630</v>
      </c>
      <c r="T3" s="48" t="s">
        <v>492</v>
      </c>
      <c r="U3" s="48" t="s">
        <v>629</v>
      </c>
      <c r="V3" s="48" t="s">
        <v>114</v>
      </c>
      <c r="W3" s="387" t="s">
        <v>121</v>
      </c>
      <c r="X3" s="91" t="s">
        <v>631</v>
      </c>
      <c r="Y3" s="451">
        <f>12/12</f>
        <v>1</v>
      </c>
      <c r="Z3" s="262"/>
      <c r="AA3" s="452" t="s">
        <v>680</v>
      </c>
      <c r="AB3" s="91" t="s">
        <v>614</v>
      </c>
      <c r="AC3" s="81" t="s">
        <v>122</v>
      </c>
      <c r="AD3" s="200" t="s">
        <v>201</v>
      </c>
      <c r="AE3" s="200" t="s">
        <v>239</v>
      </c>
      <c r="AF3" s="232" t="s">
        <v>279</v>
      </c>
      <c r="AG3" s="232" t="s">
        <v>336</v>
      </c>
      <c r="AH3" s="232" t="s">
        <v>388</v>
      </c>
      <c r="AI3" s="293" t="s">
        <v>435</v>
      </c>
      <c r="AJ3" s="293" t="s">
        <v>488</v>
      </c>
      <c r="AK3" s="232" t="s">
        <v>543</v>
      </c>
      <c r="AL3" s="232" t="s">
        <v>586</v>
      </c>
      <c r="AM3" s="232" t="s">
        <v>633</v>
      </c>
      <c r="AN3" s="91" t="s">
        <v>644</v>
      </c>
      <c r="AO3" s="200" t="s">
        <v>637</v>
      </c>
      <c r="AP3" s="91" t="s">
        <v>614</v>
      </c>
      <c r="AQ3" s="200" t="s">
        <v>633</v>
      </c>
      <c r="AR3" s="115" t="s">
        <v>164</v>
      </c>
      <c r="AU3" s="127" t="s">
        <v>172</v>
      </c>
      <c r="AV3" s="128" t="s">
        <v>173</v>
      </c>
      <c r="AW3" s="129" t="s">
        <v>174</v>
      </c>
      <c r="AX3" s="130"/>
      <c r="AY3" s="131"/>
      <c r="AZ3" s="132" t="s">
        <v>172</v>
      </c>
      <c r="BA3" s="133" t="s">
        <v>173</v>
      </c>
      <c r="BB3" s="133" t="s">
        <v>174</v>
      </c>
      <c r="BC3" s="518"/>
    </row>
    <row r="4" spans="1:55" ht="21" customHeight="1" hidden="1">
      <c r="A4" s="23"/>
      <c r="B4" s="347"/>
      <c r="C4" s="45"/>
      <c r="D4" s="45"/>
      <c r="E4" s="45"/>
      <c r="F4" s="45"/>
      <c r="G4" s="45"/>
      <c r="H4" s="45"/>
      <c r="I4" s="45"/>
      <c r="J4" s="45"/>
      <c r="K4" s="92"/>
      <c r="L4" s="55"/>
      <c r="O4" s="6"/>
      <c r="P4" s="45"/>
      <c r="Q4" s="45"/>
      <c r="R4" s="45"/>
      <c r="S4" s="45"/>
      <c r="T4" s="45"/>
      <c r="U4" s="45"/>
      <c r="V4" s="45"/>
      <c r="W4" s="45"/>
      <c r="X4" s="92"/>
      <c r="Y4" s="55"/>
      <c r="AA4" s="239"/>
      <c r="AB4" s="92"/>
      <c r="AC4" s="82"/>
      <c r="AD4" s="82"/>
      <c r="AE4" s="82"/>
      <c r="AF4" s="82"/>
      <c r="AG4" s="82"/>
      <c r="AH4" s="82"/>
      <c r="AI4" s="294"/>
      <c r="AJ4" s="294"/>
      <c r="AK4" s="45"/>
      <c r="AL4" s="45"/>
      <c r="AM4" s="45"/>
      <c r="AN4" s="239"/>
      <c r="AO4" s="327"/>
      <c r="AP4" s="92"/>
      <c r="AQ4" s="116"/>
      <c r="AR4" s="117"/>
      <c r="AU4" s="134"/>
      <c r="AV4" s="135"/>
      <c r="AW4" s="136"/>
      <c r="AX4" s="137"/>
      <c r="AY4" s="138"/>
      <c r="AZ4" s="139"/>
      <c r="BA4" s="135"/>
      <c r="BB4" s="135"/>
      <c r="BC4" s="140"/>
    </row>
    <row r="5" spans="1:55" ht="30.75">
      <c r="A5" s="24" t="s">
        <v>8</v>
      </c>
      <c r="B5" s="348"/>
      <c r="C5" s="388"/>
      <c r="D5" s="389"/>
      <c r="E5" s="389"/>
      <c r="F5" s="389">
        <f>99/99*58</f>
        <v>58</v>
      </c>
      <c r="G5" s="389"/>
      <c r="H5" s="389">
        <f>831.3-58</f>
        <v>773.3</v>
      </c>
      <c r="I5" s="389">
        <v>89.7</v>
      </c>
      <c r="J5" s="388">
        <f>SUM(C5:I5)</f>
        <v>921</v>
      </c>
      <c r="K5" s="93">
        <f>2/2*58080*0+7/7*124630*0+8/8*148830*0+9/9*831270*0+11/11*883832.4*0+12/12*2115128.4</f>
        <v>2115128.4</v>
      </c>
      <c r="L5" s="62">
        <f>K5/(J5*1000)</f>
        <v>2.296556351791531</v>
      </c>
      <c r="O5" s="3" t="s">
        <v>80</v>
      </c>
      <c r="P5" s="388">
        <v>150</v>
      </c>
      <c r="Q5" s="389"/>
      <c r="R5" s="389"/>
      <c r="S5" s="389"/>
      <c r="T5" s="389"/>
      <c r="U5" s="389">
        <v>-60</v>
      </c>
      <c r="V5" s="389"/>
      <c r="W5" s="388">
        <f>SUM(P5:V5)</f>
        <v>90</v>
      </c>
      <c r="X5" s="93">
        <f>2/2*32375*0+5/5*49788*0+7/7*69998*0+12/12*81703</f>
        <v>81703</v>
      </c>
      <c r="Y5" s="62">
        <f>X5/(W5*1000)</f>
        <v>0.9078111111111111</v>
      </c>
      <c r="AA5" s="240">
        <f>K5-AB5</f>
        <v>1231296</v>
      </c>
      <c r="AB5" s="93">
        <f>2/2*58080*0+7/7*124630*0+8/8*148830*0+9/9*831270*0+11/11*883832.4</f>
        <v>883832.4</v>
      </c>
      <c r="AC5" s="85" t="s">
        <v>123</v>
      </c>
      <c r="AD5" s="201"/>
      <c r="AE5" s="201"/>
      <c r="AF5" s="201"/>
      <c r="AG5" s="201"/>
      <c r="AH5" s="201" t="s">
        <v>390</v>
      </c>
      <c r="AI5" s="229" t="s">
        <v>436</v>
      </c>
      <c r="AJ5" s="229" t="s">
        <v>497</v>
      </c>
      <c r="AK5" s="255"/>
      <c r="AL5" s="453" t="s">
        <v>590</v>
      </c>
      <c r="AM5" s="453" t="s">
        <v>645</v>
      </c>
      <c r="AN5" s="73">
        <f>AA5-1/1*58080*0-7/7*66550*0-8/8*24200*0-9/9*(179080+135520+212960+154880)*0-11/11*(52562.4*0+47480.4+5082)*0-12/12*(7986+18150+285560+261360+232320+425920)</f>
        <v>0</v>
      </c>
      <c r="AO5" s="328">
        <f>X5-AP5</f>
        <v>11705</v>
      </c>
      <c r="AP5" s="343">
        <f>2/2*32375*0+5/5*49788*0+7/7*69998</f>
        <v>69998</v>
      </c>
      <c r="AQ5" s="118" t="s">
        <v>683</v>
      </c>
      <c r="AR5" s="119">
        <f>AO5-1.2/1.2*32375*0-5/5*17413*0-7/7*20210*0-12/12*11705</f>
        <v>0</v>
      </c>
      <c r="AU5" s="141">
        <f>K5</f>
        <v>2115128.4</v>
      </c>
      <c r="AV5" s="142"/>
      <c r="AW5" s="143">
        <f>AU5+AV5</f>
        <v>2115128.4</v>
      </c>
      <c r="AX5" s="120"/>
      <c r="AY5" s="51" t="s">
        <v>175</v>
      </c>
      <c r="AZ5" s="144">
        <f>X5</f>
        <v>81703</v>
      </c>
      <c r="BA5" s="142"/>
      <c r="BB5" s="145">
        <f>AZ5+BA5</f>
        <v>81703</v>
      </c>
      <c r="BC5" s="146">
        <f>BB5-AW5</f>
        <v>-2033425.4</v>
      </c>
    </row>
    <row r="6" spans="1:55" ht="15" customHeight="1" hidden="1">
      <c r="A6" s="24" t="s">
        <v>9</v>
      </c>
      <c r="B6" s="348"/>
      <c r="C6" s="390"/>
      <c r="D6" s="389"/>
      <c r="E6" s="389"/>
      <c r="F6" s="389"/>
      <c r="G6" s="389"/>
      <c r="H6" s="389"/>
      <c r="I6" s="389"/>
      <c r="J6" s="390"/>
      <c r="K6" s="93"/>
      <c r="L6" s="56"/>
      <c r="O6" s="2"/>
      <c r="P6" s="390"/>
      <c r="Q6" s="389"/>
      <c r="R6" s="389"/>
      <c r="S6" s="389"/>
      <c r="T6" s="389"/>
      <c r="U6" s="389"/>
      <c r="V6" s="389"/>
      <c r="W6" s="390"/>
      <c r="X6" s="93"/>
      <c r="Y6" s="56"/>
      <c r="AA6" s="241"/>
      <c r="AB6" s="93"/>
      <c r="AC6" s="85"/>
      <c r="AD6" s="85"/>
      <c r="AE6" s="85"/>
      <c r="AF6" s="85"/>
      <c r="AG6" s="85"/>
      <c r="AH6" s="85"/>
      <c r="AI6" s="295"/>
      <c r="AJ6" s="295"/>
      <c r="AK6" s="390"/>
      <c r="AL6" s="390"/>
      <c r="AM6" s="390"/>
      <c r="AN6" s="241"/>
      <c r="AO6" s="73">
        <f>X6-AP6</f>
        <v>0</v>
      </c>
      <c r="AP6" s="93"/>
      <c r="AQ6" s="118" t="s">
        <v>164</v>
      </c>
      <c r="AR6" s="120">
        <f>AO6</f>
        <v>0</v>
      </c>
      <c r="AU6" s="160"/>
      <c r="AV6" s="161"/>
      <c r="AW6" s="162"/>
      <c r="AZ6" s="163"/>
      <c r="BA6" s="161"/>
      <c r="BB6" s="161"/>
      <c r="BC6" s="164"/>
    </row>
    <row r="7" spans="1:56" ht="15">
      <c r="A7" s="25" t="s">
        <v>54</v>
      </c>
      <c r="B7" s="349"/>
      <c r="C7" s="391">
        <f>SUM(C5:C6)</f>
        <v>0</v>
      </c>
      <c r="D7" s="391">
        <f aca="true" t="shared" si="0" ref="D7:J7">SUM(D5:D6)</f>
        <v>0</v>
      </c>
      <c r="E7" s="391">
        <f>SUM(E5:E6)</f>
        <v>0</v>
      </c>
      <c r="F7" s="391">
        <f t="shared" si="0"/>
        <v>58</v>
      </c>
      <c r="G7" s="391">
        <f t="shared" si="0"/>
        <v>0</v>
      </c>
      <c r="H7" s="391">
        <f t="shared" si="0"/>
        <v>773.3</v>
      </c>
      <c r="I7" s="391">
        <f t="shared" si="0"/>
        <v>89.7</v>
      </c>
      <c r="J7" s="391">
        <f t="shared" si="0"/>
        <v>921</v>
      </c>
      <c r="K7" s="94">
        <f>SUM(K5:K6)</f>
        <v>2115128.4</v>
      </c>
      <c r="L7" s="454">
        <f>K7/(J7*1000)</f>
        <v>2.296556351791531</v>
      </c>
      <c r="M7" s="455">
        <f>(1.2/1.2*0+6/6*58*0+12/12*921-J7)+(1.2/1.2*58080*0+7/7*124630*0+8/8*148830*0+9/9*831270*0+11/11*883832.4*0+12/12*2115128.4-K7)</f>
        <v>0</v>
      </c>
      <c r="O7" s="2"/>
      <c r="P7" s="391">
        <f>SUM(P5:P6)</f>
        <v>150</v>
      </c>
      <c r="Q7" s="391">
        <f aca="true" t="shared" si="1" ref="Q7:W7">SUM(Q5:Q6)</f>
        <v>0</v>
      </c>
      <c r="R7" s="391">
        <f>SUM(R5:R6)</f>
        <v>0</v>
      </c>
      <c r="S7" s="391">
        <f t="shared" si="1"/>
        <v>0</v>
      </c>
      <c r="T7" s="391">
        <f t="shared" si="1"/>
        <v>0</v>
      </c>
      <c r="U7" s="391">
        <f t="shared" si="1"/>
        <v>-60</v>
      </c>
      <c r="V7" s="391">
        <f t="shared" si="1"/>
        <v>0</v>
      </c>
      <c r="W7" s="391">
        <f t="shared" si="1"/>
        <v>90</v>
      </c>
      <c r="X7" s="94">
        <f>SUM(X5:X6)</f>
        <v>81703</v>
      </c>
      <c r="Y7" s="456">
        <f>X7/(W7*1000)</f>
        <v>0.9078111111111111</v>
      </c>
      <c r="Z7" s="455">
        <f>(7/7*150*0+12/12*90-W7)+(7/7*69998*0+12/12*81703-X7)</f>
        <v>0</v>
      </c>
      <c r="AA7" s="317">
        <f>SUM(AA5:AA6)</f>
        <v>1231296</v>
      </c>
      <c r="AB7" s="94">
        <f>SUM(AB5:AB6)</f>
        <v>883832.4</v>
      </c>
      <c r="AC7" s="179"/>
      <c r="AD7" s="179"/>
      <c r="AE7" s="179"/>
      <c r="AF7" s="179"/>
      <c r="AG7" s="179"/>
      <c r="AH7" s="179"/>
      <c r="AI7" s="296"/>
      <c r="AJ7" s="296">
        <f>-7/7*66550-8/8*24200-9/9*(179080+135520+212960+154880)</f>
        <v>-773190</v>
      </c>
      <c r="AK7" s="457"/>
      <c r="AL7" s="457"/>
      <c r="AM7" s="457"/>
      <c r="AN7" s="281">
        <f>SUM(AN5:AN6)</f>
        <v>0</v>
      </c>
      <c r="AO7" s="329">
        <f>SUM(AO5:AO6)</f>
        <v>11705</v>
      </c>
      <c r="AP7" s="94">
        <f>SUM(AP5:AP6)</f>
        <v>69998</v>
      </c>
      <c r="AQ7" s="122"/>
      <c r="AR7" s="123">
        <f>SUM(AR5:AR6)</f>
        <v>0</v>
      </c>
      <c r="AU7" s="172">
        <f aca="true" t="shared" si="2" ref="AU7:BC7">SUM(AU5:AU6)</f>
        <v>2115128.4</v>
      </c>
      <c r="AV7" s="173">
        <f t="shared" si="2"/>
        <v>0</v>
      </c>
      <c r="AW7" s="174">
        <f t="shared" si="2"/>
        <v>2115128.4</v>
      </c>
      <c r="AX7" s="121"/>
      <c r="AY7" s="121"/>
      <c r="AZ7" s="175">
        <f t="shared" si="2"/>
        <v>81703</v>
      </c>
      <c r="BA7" s="173"/>
      <c r="BB7" s="173">
        <f t="shared" si="2"/>
        <v>81703</v>
      </c>
      <c r="BC7" s="176">
        <f t="shared" si="2"/>
        <v>-2033425.4</v>
      </c>
      <c r="BD7" s="197">
        <f>AZ7-X7</f>
        <v>0</v>
      </c>
    </row>
    <row r="8" spans="1:55" ht="15">
      <c r="A8" s="26" t="s">
        <v>10</v>
      </c>
      <c r="B8" s="348"/>
      <c r="C8" s="388"/>
      <c r="D8" s="389"/>
      <c r="E8" s="389"/>
      <c r="F8" s="389"/>
      <c r="G8" s="389"/>
      <c r="H8" s="389"/>
      <c r="I8" s="389"/>
      <c r="J8" s="388">
        <f aca="true" t="shared" si="3" ref="J8:J16">SUM(C8:I8)</f>
        <v>0</v>
      </c>
      <c r="K8" s="93"/>
      <c r="L8" s="56"/>
      <c r="O8" s="2"/>
      <c r="P8" s="388"/>
      <c r="Q8" s="389"/>
      <c r="R8" s="389"/>
      <c r="S8" s="389"/>
      <c r="T8" s="389"/>
      <c r="U8" s="389"/>
      <c r="V8" s="389"/>
      <c r="W8" s="388">
        <f aca="true" t="shared" si="4" ref="W8:W16">SUM(P8:V8)</f>
        <v>0</v>
      </c>
      <c r="X8" s="93"/>
      <c r="Y8" s="56"/>
      <c r="AA8" s="240">
        <f aca="true" t="shared" si="5" ref="AA8:AA16">K8-AB8</f>
        <v>0</v>
      </c>
      <c r="AB8" s="93"/>
      <c r="AC8" s="85"/>
      <c r="AD8" s="201"/>
      <c r="AE8" s="201"/>
      <c r="AF8" s="201"/>
      <c r="AG8" s="201"/>
      <c r="AH8" s="201"/>
      <c r="AI8" s="229"/>
      <c r="AJ8" s="229"/>
      <c r="AK8" s="255"/>
      <c r="AL8" s="255"/>
      <c r="AM8" s="255"/>
      <c r="AN8" s="73">
        <f aca="true" t="shared" si="6" ref="AN8:AN14">AA8-0</f>
        <v>0</v>
      </c>
      <c r="AO8" s="328">
        <f aca="true" t="shared" si="7" ref="AO8:AO16">X8-AP8</f>
        <v>0</v>
      </c>
      <c r="AP8" s="93"/>
      <c r="AQ8" s="118"/>
      <c r="AR8" s="119">
        <f aca="true" t="shared" si="8" ref="AR8:AR16">AO8-1.2/1.2*0</f>
        <v>0</v>
      </c>
      <c r="AU8" s="141">
        <f aca="true" t="shared" si="9" ref="AU8:AU16">K8</f>
        <v>0</v>
      </c>
      <c r="AV8" s="142"/>
      <c r="AW8" s="143">
        <f aca="true" t="shared" si="10" ref="AW8:AW16">AU8+AV8</f>
        <v>0</v>
      </c>
      <c r="AX8" s="120"/>
      <c r="AY8" s="51"/>
      <c r="AZ8" s="144">
        <f aca="true" t="shared" si="11" ref="AZ8:AZ16">X8</f>
        <v>0</v>
      </c>
      <c r="BA8" s="142"/>
      <c r="BB8" s="145">
        <f aca="true" t="shared" si="12" ref="BB8:BB16">AZ8+BA8</f>
        <v>0</v>
      </c>
      <c r="BC8" s="146">
        <f aca="true" t="shared" si="13" ref="BC8:BC16">BB8-AW8</f>
        <v>0</v>
      </c>
    </row>
    <row r="9" spans="1:55" ht="12.75">
      <c r="A9" s="26" t="s">
        <v>75</v>
      </c>
      <c r="B9" s="348"/>
      <c r="C9" s="388">
        <f>2321/2321*50+15+6/6*2000</f>
        <v>2065</v>
      </c>
      <c r="D9" s="389"/>
      <c r="E9" s="389"/>
      <c r="F9" s="389"/>
      <c r="G9" s="389"/>
      <c r="H9" s="389">
        <f>2321/2321*((112-15)-2000)</f>
        <v>-1903</v>
      </c>
      <c r="I9" s="389">
        <v>190.1</v>
      </c>
      <c r="J9" s="388">
        <f t="shared" si="3"/>
        <v>352.1</v>
      </c>
      <c r="K9" s="93">
        <f>2321/2321*5/5*4400*0+8/8*157437.6*0+9/9*161837.6*0+12/12*352147.7</f>
        <v>352147.7</v>
      </c>
      <c r="L9" s="62">
        <f>K9/(J9*1000)</f>
        <v>1.0001354728770235</v>
      </c>
      <c r="O9" s="3"/>
      <c r="P9" s="388"/>
      <c r="Q9" s="389"/>
      <c r="R9" s="389"/>
      <c r="S9" s="389"/>
      <c r="T9" s="389"/>
      <c r="U9" s="389"/>
      <c r="V9" s="389"/>
      <c r="W9" s="388">
        <f t="shared" si="4"/>
        <v>0</v>
      </c>
      <c r="X9" s="93"/>
      <c r="Y9" s="62"/>
      <c r="AA9" s="240">
        <f t="shared" si="5"/>
        <v>190310.1</v>
      </c>
      <c r="AB9" s="93">
        <f>2321/2321*5/5*4400*0+8/8*157437.6*0+9/9*161837.6</f>
        <v>161837.6</v>
      </c>
      <c r="AC9" s="85"/>
      <c r="AD9" s="201"/>
      <c r="AE9" s="201"/>
      <c r="AF9" s="201" t="s">
        <v>288</v>
      </c>
      <c r="AG9" s="201"/>
      <c r="AH9" s="201"/>
      <c r="AI9" s="229" t="s">
        <v>533</v>
      </c>
      <c r="AJ9" s="229" t="s">
        <v>498</v>
      </c>
      <c r="AK9" s="255"/>
      <c r="AL9" s="255"/>
      <c r="AM9" s="255" t="s">
        <v>647</v>
      </c>
      <c r="AN9" s="73">
        <f>AA9-5/5*4400*0-8/8*(4041.4+148996.2)*0-9/9*4400*0-12/12*(177297.8+13012.3)</f>
        <v>0</v>
      </c>
      <c r="AO9" s="328">
        <f t="shared" si="7"/>
        <v>0</v>
      </c>
      <c r="AP9" s="93"/>
      <c r="AQ9" s="118"/>
      <c r="AR9" s="119">
        <f t="shared" si="8"/>
        <v>0</v>
      </c>
      <c r="AU9" s="141">
        <f t="shared" si="9"/>
        <v>352147.7</v>
      </c>
      <c r="AV9" s="142"/>
      <c r="AW9" s="143">
        <f t="shared" si="10"/>
        <v>352147.7</v>
      </c>
      <c r="AX9" s="120"/>
      <c r="AY9" s="51"/>
      <c r="AZ9" s="144">
        <f t="shared" si="11"/>
        <v>0</v>
      </c>
      <c r="BA9" s="142"/>
      <c r="BB9" s="145">
        <f t="shared" si="12"/>
        <v>0</v>
      </c>
      <c r="BC9" s="146">
        <f t="shared" si="13"/>
        <v>-352147.7</v>
      </c>
    </row>
    <row r="10" spans="1:55" ht="15">
      <c r="A10" s="26" t="s">
        <v>50</v>
      </c>
      <c r="B10" s="348"/>
      <c r="C10" s="388"/>
      <c r="D10" s="389"/>
      <c r="E10" s="389"/>
      <c r="F10" s="389"/>
      <c r="G10" s="389"/>
      <c r="H10" s="389"/>
      <c r="I10" s="389">
        <v>42.7</v>
      </c>
      <c r="J10" s="388">
        <f t="shared" si="3"/>
        <v>42.7</v>
      </c>
      <c r="K10" s="93">
        <f>12/12*23777</f>
        <v>23777</v>
      </c>
      <c r="L10" s="62">
        <f>K10/(J10*1000)</f>
        <v>0.5568384074941451</v>
      </c>
      <c r="O10" s="3"/>
      <c r="P10" s="388"/>
      <c r="Q10" s="389"/>
      <c r="R10" s="389"/>
      <c r="S10" s="389"/>
      <c r="T10" s="389"/>
      <c r="U10" s="389"/>
      <c r="V10" s="389"/>
      <c r="W10" s="388">
        <f t="shared" si="4"/>
        <v>0</v>
      </c>
      <c r="X10" s="93"/>
      <c r="Y10" s="56"/>
      <c r="AA10" s="240">
        <f t="shared" si="5"/>
        <v>23777</v>
      </c>
      <c r="AB10" s="93"/>
      <c r="AC10" s="85"/>
      <c r="AD10" s="201"/>
      <c r="AE10" s="201"/>
      <c r="AF10" s="201"/>
      <c r="AG10" s="201"/>
      <c r="AH10" s="201"/>
      <c r="AI10" s="229"/>
      <c r="AJ10" s="229">
        <f>3865-2842.1-(2*415+46+14.5+97.9+34.5)</f>
        <v>0</v>
      </c>
      <c r="AK10" s="255"/>
      <c r="AL10" s="255"/>
      <c r="AM10" s="255" t="s">
        <v>648</v>
      </c>
      <c r="AN10" s="73">
        <f>AA10-12/12*(13492+10285)</f>
        <v>0</v>
      </c>
      <c r="AO10" s="328">
        <f t="shared" si="7"/>
        <v>0</v>
      </c>
      <c r="AP10" s="93"/>
      <c r="AQ10" s="118"/>
      <c r="AR10" s="119">
        <f t="shared" si="8"/>
        <v>0</v>
      </c>
      <c r="AU10" s="141">
        <f t="shared" si="9"/>
        <v>23777</v>
      </c>
      <c r="AV10" s="142"/>
      <c r="AW10" s="143">
        <f t="shared" si="10"/>
        <v>23777</v>
      </c>
      <c r="AX10" s="120"/>
      <c r="AY10" s="51"/>
      <c r="AZ10" s="144">
        <f t="shared" si="11"/>
        <v>0</v>
      </c>
      <c r="BA10" s="142"/>
      <c r="BB10" s="145">
        <f t="shared" si="12"/>
        <v>0</v>
      </c>
      <c r="BC10" s="146">
        <f t="shared" si="13"/>
        <v>-23777</v>
      </c>
    </row>
    <row r="11" spans="1:55" ht="25.5">
      <c r="A11" s="26" t="s">
        <v>76</v>
      </c>
      <c r="B11" s="348"/>
      <c r="C11" s="388"/>
      <c r="D11" s="389"/>
      <c r="E11" s="389"/>
      <c r="F11" s="389">
        <f>99/99*(94+2/2*2000)</f>
        <v>2094</v>
      </c>
      <c r="G11" s="389"/>
      <c r="H11" s="389"/>
      <c r="I11" s="389">
        <v>96.8</v>
      </c>
      <c r="J11" s="388">
        <f t="shared" si="3"/>
        <v>2190.8</v>
      </c>
      <c r="K11" s="93">
        <f>2/2*(2/2*11495*0+3/3*22990*0+4/4*6965433.97*0+5/5*7713832.06*0+6/6*7725327.06*0+7/7*(8233944.06+5169/5169*11495+9/9*11495)*0+11/11*3648292.88)+5/5*54915*0+6/6*93536*0+8/8*105031*0+10/10*116526*0+11/11*167346*0+12/12*171480</f>
        <v>3819772.88</v>
      </c>
      <c r="L11" s="62">
        <f>K11/(J11*1000)</f>
        <v>1.743551615848092</v>
      </c>
      <c r="O11" s="3"/>
      <c r="P11" s="388"/>
      <c r="Q11" s="389"/>
      <c r="R11" s="389"/>
      <c r="S11" s="389"/>
      <c r="T11" s="389"/>
      <c r="U11" s="389"/>
      <c r="V11" s="389"/>
      <c r="W11" s="388">
        <f t="shared" si="4"/>
        <v>0</v>
      </c>
      <c r="X11" s="93"/>
      <c r="Y11" s="56"/>
      <c r="AA11" s="240">
        <f t="shared" si="5"/>
        <v>4134</v>
      </c>
      <c r="AB11" s="93">
        <f>2/2*(2/2*11495*0+3/3*22990*0+4/4*6965433.97*0+5/5*7713832.06*0+6/6*7725327.06*0+7/7*(8233944.06+5169/5169*11495+9/9*11495)*0+11/11*3648292.88)+5/5*54915*0+6/6*93536*0+8/8*105031*0+10/10*116526*0+11/11*167346</f>
        <v>3815638.88</v>
      </c>
      <c r="AC11" s="85" t="s">
        <v>124</v>
      </c>
      <c r="AD11" s="85" t="s">
        <v>124</v>
      </c>
      <c r="AE11" s="201" t="s">
        <v>243</v>
      </c>
      <c r="AF11" s="201" t="s">
        <v>289</v>
      </c>
      <c r="AG11" s="201" t="s">
        <v>339</v>
      </c>
      <c r="AH11" s="201" t="s">
        <v>391</v>
      </c>
      <c r="AI11" s="229" t="s">
        <v>438</v>
      </c>
      <c r="AJ11" s="229" t="s">
        <v>438</v>
      </c>
      <c r="AK11" s="255" t="s">
        <v>438</v>
      </c>
      <c r="AL11" s="255" t="s">
        <v>591</v>
      </c>
      <c r="AM11" s="255" t="s">
        <v>649</v>
      </c>
      <c r="AN11" s="73">
        <f>AA11-2/2*11495*0-3/3*11495*0-4/4*(39325*0+2/2*(11495+6930948.97))*0-5/5*((10070+5520+39325)+2/2*(1200+11495+45000+690703.09))*0-6/6*((4235+11495)+34386)*0-7/7*(11495+508617)*0-8/8*11495*(0+9/9*0+10/10*0)-11/11*((50820*0+39325+11495)-4608641.18)*0-12/12*4134</f>
        <v>0</v>
      </c>
      <c r="AO11" s="328">
        <f>X11-AP11</f>
        <v>0</v>
      </c>
      <c r="AP11" s="93"/>
      <c r="AQ11" s="118"/>
      <c r="AR11" s="119">
        <f t="shared" si="8"/>
        <v>0</v>
      </c>
      <c r="AU11" s="141">
        <f t="shared" si="9"/>
        <v>3819772.88</v>
      </c>
      <c r="AV11" s="142"/>
      <c r="AW11" s="143">
        <f t="shared" si="10"/>
        <v>3819772.88</v>
      </c>
      <c r="AX11" s="120"/>
      <c r="AY11" s="51"/>
      <c r="AZ11" s="144">
        <f t="shared" si="11"/>
        <v>0</v>
      </c>
      <c r="BA11" s="142"/>
      <c r="BB11" s="145">
        <f t="shared" si="12"/>
        <v>0</v>
      </c>
      <c r="BC11" s="146">
        <f t="shared" si="13"/>
        <v>-3819772.88</v>
      </c>
    </row>
    <row r="12" spans="1:55" ht="15" hidden="1">
      <c r="A12" s="26" t="s">
        <v>48</v>
      </c>
      <c r="B12" s="348"/>
      <c r="C12" s="388"/>
      <c r="D12" s="389"/>
      <c r="E12" s="389"/>
      <c r="F12" s="389"/>
      <c r="G12" s="389"/>
      <c r="H12" s="389"/>
      <c r="I12" s="389"/>
      <c r="J12" s="388">
        <f t="shared" si="3"/>
        <v>0</v>
      </c>
      <c r="K12" s="93"/>
      <c r="L12" s="56"/>
      <c r="O12" s="3"/>
      <c r="P12" s="388"/>
      <c r="Q12" s="389"/>
      <c r="R12" s="389"/>
      <c r="S12" s="389"/>
      <c r="T12" s="389"/>
      <c r="U12" s="389"/>
      <c r="V12" s="389"/>
      <c r="W12" s="388">
        <f t="shared" si="4"/>
        <v>0</v>
      </c>
      <c r="X12" s="93"/>
      <c r="Y12" s="56"/>
      <c r="AA12" s="240">
        <f t="shared" si="5"/>
        <v>0</v>
      </c>
      <c r="AB12" s="93"/>
      <c r="AC12" s="85"/>
      <c r="AD12" s="201"/>
      <c r="AE12" s="201"/>
      <c r="AF12" s="201"/>
      <c r="AG12" s="201"/>
      <c r="AH12" s="201"/>
      <c r="AI12" s="229"/>
      <c r="AJ12" s="229"/>
      <c r="AK12" s="255"/>
      <c r="AL12" s="255"/>
      <c r="AM12" s="255"/>
      <c r="AN12" s="73">
        <f t="shared" si="6"/>
        <v>0</v>
      </c>
      <c r="AO12" s="328">
        <f t="shared" si="7"/>
        <v>0</v>
      </c>
      <c r="AP12" s="93"/>
      <c r="AQ12" s="118"/>
      <c r="AR12" s="119">
        <f t="shared" si="8"/>
        <v>0</v>
      </c>
      <c r="AU12" s="141">
        <f t="shared" si="9"/>
        <v>0</v>
      </c>
      <c r="AV12" s="142"/>
      <c r="AW12" s="143">
        <f t="shared" si="10"/>
        <v>0</v>
      </c>
      <c r="AX12" s="120"/>
      <c r="AY12" s="51"/>
      <c r="AZ12" s="144">
        <f t="shared" si="11"/>
        <v>0</v>
      </c>
      <c r="BA12" s="142"/>
      <c r="BB12" s="145">
        <f t="shared" si="12"/>
        <v>0</v>
      </c>
      <c r="BC12" s="146">
        <f t="shared" si="13"/>
        <v>0</v>
      </c>
    </row>
    <row r="13" spans="1:55" ht="15" hidden="1">
      <c r="A13" s="26" t="s">
        <v>9</v>
      </c>
      <c r="B13" s="348"/>
      <c r="C13" s="388"/>
      <c r="D13" s="389"/>
      <c r="E13" s="389"/>
      <c r="F13" s="389"/>
      <c r="G13" s="389"/>
      <c r="H13" s="389"/>
      <c r="I13" s="389"/>
      <c r="J13" s="388">
        <f t="shared" si="3"/>
        <v>0</v>
      </c>
      <c r="K13" s="93"/>
      <c r="L13" s="56"/>
      <c r="O13" s="3"/>
      <c r="P13" s="388"/>
      <c r="Q13" s="389"/>
      <c r="R13" s="389"/>
      <c r="S13" s="389"/>
      <c r="T13" s="389"/>
      <c r="U13" s="389"/>
      <c r="V13" s="389"/>
      <c r="W13" s="388">
        <f t="shared" si="4"/>
        <v>0</v>
      </c>
      <c r="X13" s="93"/>
      <c r="Y13" s="56"/>
      <c r="AA13" s="240">
        <f t="shared" si="5"/>
        <v>0</v>
      </c>
      <c r="AB13" s="93"/>
      <c r="AC13" s="85"/>
      <c r="AD13" s="201"/>
      <c r="AE13" s="201"/>
      <c r="AF13" s="201"/>
      <c r="AG13" s="201"/>
      <c r="AH13" s="201"/>
      <c r="AI13" s="229"/>
      <c r="AJ13" s="229"/>
      <c r="AK13" s="255"/>
      <c r="AL13" s="255"/>
      <c r="AM13" s="255"/>
      <c r="AN13" s="73">
        <f t="shared" si="6"/>
        <v>0</v>
      </c>
      <c r="AO13" s="328">
        <f t="shared" si="7"/>
        <v>0</v>
      </c>
      <c r="AP13" s="93"/>
      <c r="AQ13" s="118"/>
      <c r="AR13" s="119">
        <f t="shared" si="8"/>
        <v>0</v>
      </c>
      <c r="AU13" s="141">
        <f t="shared" si="9"/>
        <v>0</v>
      </c>
      <c r="AV13" s="142"/>
      <c r="AW13" s="143">
        <f t="shared" si="10"/>
        <v>0</v>
      </c>
      <c r="AX13" s="120"/>
      <c r="AY13" s="51"/>
      <c r="AZ13" s="144">
        <f t="shared" si="11"/>
        <v>0</v>
      </c>
      <c r="BA13" s="142"/>
      <c r="BB13" s="145">
        <f t="shared" si="12"/>
        <v>0</v>
      </c>
      <c r="BC13" s="146">
        <f t="shared" si="13"/>
        <v>0</v>
      </c>
    </row>
    <row r="14" spans="1:55" ht="15" hidden="1">
      <c r="A14" s="26" t="s">
        <v>77</v>
      </c>
      <c r="B14" s="348"/>
      <c r="C14" s="388"/>
      <c r="D14" s="389"/>
      <c r="E14" s="389"/>
      <c r="F14" s="389"/>
      <c r="G14" s="389"/>
      <c r="H14" s="389"/>
      <c r="I14" s="389"/>
      <c r="J14" s="388">
        <f t="shared" si="3"/>
        <v>0</v>
      </c>
      <c r="K14" s="93"/>
      <c r="L14" s="56"/>
      <c r="O14" s="3"/>
      <c r="P14" s="388"/>
      <c r="Q14" s="389"/>
      <c r="R14" s="389"/>
      <c r="S14" s="389"/>
      <c r="T14" s="389"/>
      <c r="U14" s="389"/>
      <c r="V14" s="389"/>
      <c r="W14" s="388">
        <f t="shared" si="4"/>
        <v>0</v>
      </c>
      <c r="X14" s="93"/>
      <c r="Y14" s="56"/>
      <c r="AA14" s="240">
        <f t="shared" si="5"/>
        <v>0</v>
      </c>
      <c r="AB14" s="93"/>
      <c r="AC14" s="85"/>
      <c r="AD14" s="201"/>
      <c r="AE14" s="201"/>
      <c r="AF14" s="201"/>
      <c r="AG14" s="201"/>
      <c r="AH14" s="201"/>
      <c r="AI14" s="229"/>
      <c r="AJ14" s="229"/>
      <c r="AK14" s="255"/>
      <c r="AL14" s="255"/>
      <c r="AM14" s="255"/>
      <c r="AN14" s="73">
        <f t="shared" si="6"/>
        <v>0</v>
      </c>
      <c r="AO14" s="328">
        <f t="shared" si="7"/>
        <v>0</v>
      </c>
      <c r="AP14" s="93"/>
      <c r="AQ14" s="118"/>
      <c r="AR14" s="119">
        <f t="shared" si="8"/>
        <v>0</v>
      </c>
      <c r="AU14" s="141">
        <f t="shared" si="9"/>
        <v>0</v>
      </c>
      <c r="AV14" s="142"/>
      <c r="AW14" s="143">
        <f t="shared" si="10"/>
        <v>0</v>
      </c>
      <c r="AX14" s="120"/>
      <c r="AY14" s="51"/>
      <c r="AZ14" s="144">
        <f t="shared" si="11"/>
        <v>0</v>
      </c>
      <c r="BA14" s="142"/>
      <c r="BB14" s="145">
        <f t="shared" si="12"/>
        <v>0</v>
      </c>
      <c r="BC14" s="146">
        <f t="shared" si="13"/>
        <v>0</v>
      </c>
    </row>
    <row r="15" spans="1:55" ht="15">
      <c r="A15" s="26" t="s">
        <v>49</v>
      </c>
      <c r="B15" s="348"/>
      <c r="C15" s="388"/>
      <c r="D15" s="389"/>
      <c r="E15" s="389"/>
      <c r="F15" s="389">
        <f>99/99*258</f>
        <v>258</v>
      </c>
      <c r="G15" s="389"/>
      <c r="H15" s="389"/>
      <c r="I15" s="389"/>
      <c r="J15" s="388">
        <f t="shared" si="3"/>
        <v>258</v>
      </c>
      <c r="K15" s="93">
        <f>2/2*204/204*(257730*0+6/6*300730)</f>
        <v>300730</v>
      </c>
      <c r="L15" s="56"/>
      <c r="O15" s="3"/>
      <c r="P15" s="388"/>
      <c r="Q15" s="389"/>
      <c r="R15" s="389"/>
      <c r="S15" s="389"/>
      <c r="T15" s="389"/>
      <c r="U15" s="389"/>
      <c r="V15" s="389"/>
      <c r="W15" s="388">
        <f t="shared" si="4"/>
        <v>0</v>
      </c>
      <c r="X15" s="93"/>
      <c r="Y15" s="56"/>
      <c r="AA15" s="240">
        <f t="shared" si="5"/>
        <v>0</v>
      </c>
      <c r="AB15" s="93">
        <f>2/2*204/204*(257730*0+6/6*300730)</f>
        <v>300730</v>
      </c>
      <c r="AC15" s="85" t="s">
        <v>125</v>
      </c>
      <c r="AD15" s="201"/>
      <c r="AE15" s="201"/>
      <c r="AF15" s="201"/>
      <c r="AG15" s="201" t="s">
        <v>337</v>
      </c>
      <c r="AH15" s="201"/>
      <c r="AI15" s="229"/>
      <c r="AJ15" s="229"/>
      <c r="AK15" s="255"/>
      <c r="AL15" s="255"/>
      <c r="AM15" s="255"/>
      <c r="AN15" s="73">
        <f>AA15-1/1*257730*0-6/6*43000*0</f>
        <v>0</v>
      </c>
      <c r="AO15" s="328">
        <f t="shared" si="7"/>
        <v>0</v>
      </c>
      <c r="AP15" s="93"/>
      <c r="AQ15" s="118"/>
      <c r="AR15" s="119">
        <f t="shared" si="8"/>
        <v>0</v>
      </c>
      <c r="AU15" s="141">
        <f t="shared" si="9"/>
        <v>300730</v>
      </c>
      <c r="AV15" s="142"/>
      <c r="AW15" s="143">
        <f t="shared" si="10"/>
        <v>300730</v>
      </c>
      <c r="AX15" s="120"/>
      <c r="AY15" s="51"/>
      <c r="AZ15" s="144">
        <f t="shared" si="11"/>
        <v>0</v>
      </c>
      <c r="BA15" s="142"/>
      <c r="BB15" s="145">
        <f t="shared" si="12"/>
        <v>0</v>
      </c>
      <c r="BC15" s="146">
        <f t="shared" si="13"/>
        <v>-300730</v>
      </c>
    </row>
    <row r="16" spans="1:55" ht="22.5">
      <c r="A16" s="26" t="s">
        <v>11</v>
      </c>
      <c r="B16" s="348"/>
      <c r="C16" s="388"/>
      <c r="D16" s="389"/>
      <c r="E16" s="389"/>
      <c r="F16" s="389">
        <f>99/99*(105+213/213*1270)</f>
        <v>1375</v>
      </c>
      <c r="G16" s="389">
        <f>135.8+15.3+199.6+10</f>
        <v>360.70000000000005</v>
      </c>
      <c r="H16" s="389"/>
      <c r="I16" s="389">
        <v>542.7</v>
      </c>
      <c r="J16" s="388">
        <f t="shared" si="3"/>
        <v>2278.4</v>
      </c>
      <c r="K16" s="93">
        <f>(3/3*104900.95*0+6/6*194765.95*0+8/8*240765.95*0+9/9*338706.95*0+10/10*386862.95*0+11/11*539299.95*0+12/12*750974.95)+213/213*(2/2*945286.74*0+3/3*988561.74*0+5/5*1269907.69)+6/6*(23/23*15285+192108/192108*(38500+10/10*7260*0+11/11*230989))+9/9*206/206*14520</f>
        <v>2320176.6399999997</v>
      </c>
      <c r="L16" s="56"/>
      <c r="O16" s="3"/>
      <c r="P16" s="388"/>
      <c r="Q16" s="389"/>
      <c r="R16" s="389"/>
      <c r="S16" s="389"/>
      <c r="T16" s="389"/>
      <c r="U16" s="389"/>
      <c r="V16" s="389"/>
      <c r="W16" s="388">
        <f t="shared" si="4"/>
        <v>0</v>
      </c>
      <c r="X16" s="93"/>
      <c r="Y16" s="56"/>
      <c r="AA16" s="240">
        <f t="shared" si="5"/>
        <v>211675</v>
      </c>
      <c r="AB16" s="93">
        <f>(3/3*104900.95*0+6/6*194765.95*0+8/8*240765.95*0+9/9*338706.95*0+10/10*386862.95*0+11/11*539299.95)+213/213*(2/2*945286.74*0+3/3*988561.74*0+5/5*1269907.69)+6/6*(23/23*15285+192108/192108*(38500+10/10*7260*0+11/11*230989))+9/9*206/206*14520</f>
        <v>2108501.6399999997</v>
      </c>
      <c r="AC16" s="85" t="s">
        <v>126</v>
      </c>
      <c r="AD16" s="201" t="s">
        <v>188</v>
      </c>
      <c r="AE16" s="201"/>
      <c r="AF16" s="201" t="s">
        <v>290</v>
      </c>
      <c r="AG16" s="201" t="s">
        <v>338</v>
      </c>
      <c r="AH16" s="201"/>
      <c r="AI16" s="229" t="s">
        <v>439</v>
      </c>
      <c r="AJ16" s="229" t="s">
        <v>499</v>
      </c>
      <c r="AK16" s="255" t="s">
        <v>546</v>
      </c>
      <c r="AL16" s="255" t="s">
        <v>592</v>
      </c>
      <c r="AM16" s="255" t="s">
        <v>650</v>
      </c>
      <c r="AN16" s="73">
        <f>AA16-1/1*(397947.22+467177.02+80162.5)*0-3/3*(104900+21495+21780)*0-5/5*(36777.95+244568)*0-6/6*(23/23*(15285+76466)+89865+38500)*0-8/8*(12000+34000)*0-9/9*(14520+97941)*0-10/10*(48156+7260)*0-11/11*(152437*0+(14520+76466)+21488+39963+223729)*0-12/12*(42350+169325)</f>
        <v>0</v>
      </c>
      <c r="AO16" s="328">
        <f t="shared" si="7"/>
        <v>0</v>
      </c>
      <c r="AP16" s="93"/>
      <c r="AQ16" s="118"/>
      <c r="AR16" s="119">
        <f t="shared" si="8"/>
        <v>0</v>
      </c>
      <c r="AU16" s="141">
        <f t="shared" si="9"/>
        <v>2320176.6399999997</v>
      </c>
      <c r="AV16" s="142"/>
      <c r="AW16" s="143">
        <f t="shared" si="10"/>
        <v>2320176.6399999997</v>
      </c>
      <c r="AX16" s="120"/>
      <c r="AY16" s="51"/>
      <c r="AZ16" s="144">
        <f t="shared" si="11"/>
        <v>0</v>
      </c>
      <c r="BA16" s="142"/>
      <c r="BB16" s="145">
        <f t="shared" si="12"/>
        <v>0</v>
      </c>
      <c r="BC16" s="146">
        <f t="shared" si="13"/>
        <v>-2320176.6399999997</v>
      </c>
    </row>
    <row r="17" spans="1:56" ht="15">
      <c r="A17" s="27" t="s">
        <v>39</v>
      </c>
      <c r="B17" s="350"/>
      <c r="C17" s="392">
        <f>SUM(C8:C16)</f>
        <v>2065</v>
      </c>
      <c r="D17" s="392">
        <f aca="true" t="shared" si="14" ref="D17:J17">SUM(D8:D16)</f>
        <v>0</v>
      </c>
      <c r="E17" s="392">
        <f>SUM(E8:E16)</f>
        <v>0</v>
      </c>
      <c r="F17" s="392">
        <f t="shared" si="14"/>
        <v>3727</v>
      </c>
      <c r="G17" s="392">
        <f t="shared" si="14"/>
        <v>360.70000000000005</v>
      </c>
      <c r="H17" s="392">
        <f t="shared" si="14"/>
        <v>-1903</v>
      </c>
      <c r="I17" s="392">
        <f t="shared" si="14"/>
        <v>872.3000000000001</v>
      </c>
      <c r="J17" s="392">
        <f t="shared" si="14"/>
        <v>5122</v>
      </c>
      <c r="K17" s="95">
        <f>SUM(K8:K16)</f>
        <v>6816604.22</v>
      </c>
      <c r="L17" s="458">
        <f>K17/(J17*1000)</f>
        <v>1.3308481491604842</v>
      </c>
      <c r="M17" s="459">
        <f>(1.2/1.2*0+3/3*7065*0+4/4*35065*0+6/6*38792*0+9/9*39152.7*0+10/10*43761.3*0+11/11*89011.1*0+12/12*88015.3-2212/2212*34.9-(J17+J100)-90/90*J119-10/10*J141-84/84*11/11*J121)+(1.2/1.2*2049511.74*0+3/3*2629182.69*0+4/4*9991626.66*0+5/5*11490685.7*0+6/6*12142451.7*0+7/7*13197656.2*0+8/8*13823188.8*0+9/9*13951544.8*0+10/10*14848455.8*0+11/11*15695441.8*0+12/12*16580207.9-2212/2212*34870-(K17+K100)-K119-K141-K121)</f>
        <v>1.8699211068451405E-09</v>
      </c>
      <c r="O17" s="3"/>
      <c r="P17" s="392">
        <f>SUM(P8:P16)</f>
        <v>0</v>
      </c>
      <c r="Q17" s="392">
        <f aca="true" t="shared" si="15" ref="Q17:W17">SUM(Q8:Q16)</f>
        <v>0</v>
      </c>
      <c r="R17" s="392">
        <f>SUM(R8:R16)</f>
        <v>0</v>
      </c>
      <c r="S17" s="392">
        <f t="shared" si="15"/>
        <v>0</v>
      </c>
      <c r="T17" s="392">
        <f t="shared" si="15"/>
        <v>0</v>
      </c>
      <c r="U17" s="392">
        <f t="shared" si="15"/>
        <v>0</v>
      </c>
      <c r="V17" s="392">
        <f t="shared" si="15"/>
        <v>0</v>
      </c>
      <c r="W17" s="392">
        <f t="shared" si="15"/>
        <v>0</v>
      </c>
      <c r="X17" s="95">
        <f>SUM(X8:X16)</f>
        <v>0</v>
      </c>
      <c r="Y17" s="63"/>
      <c r="Z17" s="460">
        <f>(0+3/3*5000*0+11/11*54858.4-W17-81/81*W100-84/84*11/11*W121-1065/1065*W141)+(7/7*5000000*0+11/11*54858441.18-X17-81/81*X100-84/84*11/11*X121-1065/1065*X141)</f>
        <v>-1.8189894035458565E-12</v>
      </c>
      <c r="AA17" s="318">
        <f>SUM(AA8:AA16)</f>
        <v>429896.1</v>
      </c>
      <c r="AB17" s="95">
        <f>SUM(AB8:AB16)</f>
        <v>6386708.12</v>
      </c>
      <c r="AC17" s="179"/>
      <c r="AD17" s="179"/>
      <c r="AE17" s="179"/>
      <c r="AF17" s="179"/>
      <c r="AG17" s="179"/>
      <c r="AH17" s="179"/>
      <c r="AI17" s="296"/>
      <c r="AJ17" s="296"/>
      <c r="AK17" s="457"/>
      <c r="AL17" s="457"/>
      <c r="AM17" s="457"/>
      <c r="AN17" s="281">
        <f>SUM(AN8:AN16)</f>
        <v>0</v>
      </c>
      <c r="AO17" s="180">
        <f>SUM(AO8:AO16)</f>
        <v>0</v>
      </c>
      <c r="AP17" s="95">
        <f>SUM(AP8:AP16)</f>
        <v>0</v>
      </c>
      <c r="AQ17" s="180"/>
      <c r="AR17" s="180">
        <f>SUM(AR8:AR16)</f>
        <v>0</v>
      </c>
      <c r="AU17" s="172">
        <f aca="true" t="shared" si="16" ref="AU17:BC17">SUM(AU8:AU16)</f>
        <v>6816604.22</v>
      </c>
      <c r="AV17" s="173">
        <f t="shared" si="16"/>
        <v>0</v>
      </c>
      <c r="AW17" s="174">
        <f t="shared" si="16"/>
        <v>6816604.22</v>
      </c>
      <c r="AX17" s="121"/>
      <c r="AY17" s="121"/>
      <c r="AZ17" s="175">
        <f t="shared" si="16"/>
        <v>0</v>
      </c>
      <c r="BA17" s="173"/>
      <c r="BB17" s="173">
        <f t="shared" si="16"/>
        <v>0</v>
      </c>
      <c r="BC17" s="176">
        <f t="shared" si="16"/>
        <v>-6816604.22</v>
      </c>
      <c r="BD17" s="197">
        <f>AZ17-X17</f>
        <v>0</v>
      </c>
    </row>
    <row r="18" spans="1:55" ht="24.75" customHeight="1">
      <c r="A18" s="26" t="s">
        <v>12</v>
      </c>
      <c r="B18" s="348"/>
      <c r="C18" s="388">
        <f>50+500+6/6*3200</f>
        <v>3750</v>
      </c>
      <c r="D18" s="389"/>
      <c r="E18" s="389"/>
      <c r="F18" s="389">
        <f>99/99*8025/8025*1360</f>
        <v>1360</v>
      </c>
      <c r="G18" s="389"/>
      <c r="H18" s="389">
        <f>(36.5+341.2)+319/319*178.5+320/320*66.5+326/326*72.5+80078/80078*18</f>
        <v>713.2</v>
      </c>
      <c r="I18" s="389">
        <v>-1152.1</v>
      </c>
      <c r="J18" s="388">
        <f>SUM(C18:I18)</f>
        <v>4671.1</v>
      </c>
      <c r="K18" s="93">
        <f>2/2*(162100*0+4/4*216702.8*0+311082.8*0+6/6*595299.8*0+7/7*609456.8*0+8/8*1122522.8*0+9/9*1198765.8*0+10/10*1318900.8*0+12/12*1501741.8+320/320*66550+326/326*72331+80250/80250*864085.2*0*90/90)+80078/80078*3/3*18000+4/4*80250/80250*(2544218.6*0+5/5*2961242.52*0+6/6*3452075.06-90/90*1593754.85)+319/319*5/5*(20000*0+7/7*1168885*0+8/8*1378461.84)+12/12*(204/204*34870+328/328*30250)</f>
        <v>4960524.85</v>
      </c>
      <c r="L18" s="62">
        <f>K18/(J18*1000)</f>
        <v>1.0619607480036821</v>
      </c>
      <c r="O18" s="5"/>
      <c r="P18" s="388"/>
      <c r="Q18" s="389"/>
      <c r="R18" s="389"/>
      <c r="S18" s="389"/>
      <c r="T18" s="389"/>
      <c r="U18" s="389"/>
      <c r="V18" s="389"/>
      <c r="W18" s="388">
        <f>SUM(P18:V18)</f>
        <v>0</v>
      </c>
      <c r="X18" s="93"/>
      <c r="Y18" s="62"/>
      <c r="AA18" s="240">
        <f>K18-AB18</f>
        <v>247961</v>
      </c>
      <c r="AB18" s="93">
        <f>2/2*(162100*0+4/4*216702.8*0+311082.8*0+6/6*595299.8*0+7/7*609456.8*0+8/8*1122522.8*0+9/9*1198765.8*0+10/10*1318900.8+320/320*66550+326/326*72331+80250/80250*864085.2*0*90/90)+80078/80078*3/3*18000+4/4*80250/80250*(2544218.6*0+5/5*2961242.52*0+6/6*3452075.06-90/90*1593754.85)+319/319*5/5*(20000*0+7/7*1168885*0+8/8*1378461.84)</f>
        <v>4712563.85</v>
      </c>
      <c r="AC18" s="85" t="s">
        <v>127</v>
      </c>
      <c r="AD18" s="201" t="s">
        <v>189</v>
      </c>
      <c r="AE18" s="201" t="s">
        <v>245</v>
      </c>
      <c r="AF18" s="201" t="s">
        <v>329</v>
      </c>
      <c r="AG18" s="201" t="s">
        <v>340</v>
      </c>
      <c r="AH18" s="201" t="s">
        <v>393</v>
      </c>
      <c r="AI18" s="229" t="s">
        <v>486</v>
      </c>
      <c r="AJ18" s="229" t="s">
        <v>500</v>
      </c>
      <c r="AK18" s="255" t="s">
        <v>547</v>
      </c>
      <c r="AL18" s="255"/>
      <c r="AM18" s="255" t="s">
        <v>684</v>
      </c>
      <c r="AN18" s="73">
        <f>AA18-1/1*(864085.2+72331+82885+66550+13260+17756+48199)*0-3/3*18000*0-4/4*(6630.8+47972+950463.75)*0-5/5*((94380)+20000+417023.92)*0-6/6*(284217+490832.54)*0-7/7*(14157+319/319*1148885)*0-8/8*(253884+33677+35172+190333+209576.84)*0-9/9*76243*0-10/10*(23595+96540)*0-12/12*(204/204*34870+(21780+89540+30250+57001+14520))</f>
        <v>0</v>
      </c>
      <c r="AO18" s="328">
        <f>X18-AP18</f>
        <v>0</v>
      </c>
      <c r="AP18" s="93"/>
      <c r="AQ18" s="118"/>
      <c r="AR18" s="119">
        <f>AO18-1.2/1.2*0</f>
        <v>0</v>
      </c>
      <c r="AU18" s="141">
        <f>K18</f>
        <v>4960524.85</v>
      </c>
      <c r="AV18" s="142"/>
      <c r="AW18" s="143">
        <f>AU18+AV18</f>
        <v>4960524.85</v>
      </c>
      <c r="AX18" s="120"/>
      <c r="AY18" s="51"/>
      <c r="AZ18" s="144">
        <f>X18</f>
        <v>0</v>
      </c>
      <c r="BA18" s="142"/>
      <c r="BB18" s="145">
        <f>AZ18+BA18</f>
        <v>0</v>
      </c>
      <c r="BC18" s="146">
        <f>BB18-AW18</f>
        <v>-4960524.85</v>
      </c>
    </row>
    <row r="19" spans="1:55" ht="15">
      <c r="A19" s="34" t="s">
        <v>223</v>
      </c>
      <c r="B19" s="351"/>
      <c r="C19" s="388">
        <v>0</v>
      </c>
      <c r="D19" s="389"/>
      <c r="E19" s="389"/>
      <c r="F19" s="389"/>
      <c r="G19" s="389"/>
      <c r="H19" s="389"/>
      <c r="I19" s="389">
        <v>82.8</v>
      </c>
      <c r="J19" s="388">
        <f>SUM(C19:I19)</f>
        <v>82.8</v>
      </c>
      <c r="K19" s="93">
        <f>3/3*15000*0+4/4*18200*0+8/8*78554.8*0+11/11*82789.8</f>
        <v>82789.8</v>
      </c>
      <c r="L19" s="56"/>
      <c r="O19" s="5"/>
      <c r="P19" s="388"/>
      <c r="Q19" s="389"/>
      <c r="R19" s="389"/>
      <c r="S19" s="389"/>
      <c r="T19" s="389"/>
      <c r="U19" s="389"/>
      <c r="V19" s="389"/>
      <c r="W19" s="388">
        <f>SUM(P19:V19)</f>
        <v>0</v>
      </c>
      <c r="X19" s="93"/>
      <c r="Y19" s="56"/>
      <c r="AA19" s="240">
        <f>K19-AB19</f>
        <v>0</v>
      </c>
      <c r="AB19" s="93">
        <f>3/3*15000*0+4/4*18200*0+8/8*78554.8*0+11/11*82789.8</f>
        <v>82789.8</v>
      </c>
      <c r="AC19" s="85">
        <f>0.54+1.226+2.935+2/2*(0.542+1.24+2.952)*2+97.6+25.8</f>
        <v>137.569</v>
      </c>
      <c r="AD19" s="201" t="s">
        <v>191</v>
      </c>
      <c r="AE19" s="201" t="s">
        <v>244</v>
      </c>
      <c r="AF19" s="201"/>
      <c r="AG19" s="201"/>
      <c r="AH19" s="201"/>
      <c r="AI19" s="229" t="s">
        <v>440</v>
      </c>
      <c r="AJ19" s="331">
        <f>204.6-(43.6+22.2+91)</f>
        <v>47.79999999999998</v>
      </c>
      <c r="AK19" s="51"/>
      <c r="AL19" s="51" t="s">
        <v>593</v>
      </c>
      <c r="AM19" s="51"/>
      <c r="AN19" s="73">
        <f>AA19-3/3*15000*0-4/4*3200*0-8/8*60354.8*0-11/11*4235*0</f>
        <v>0</v>
      </c>
      <c r="AO19" s="328">
        <f>X19-AP19</f>
        <v>0</v>
      </c>
      <c r="AP19" s="93"/>
      <c r="AQ19" s="118"/>
      <c r="AR19" s="119">
        <f>AO19-1.2/1.2*0</f>
        <v>0</v>
      </c>
      <c r="AU19" s="141">
        <f>K19</f>
        <v>82789.8</v>
      </c>
      <c r="AV19" s="142"/>
      <c r="AW19" s="143">
        <f>AU19+AV19</f>
        <v>82789.8</v>
      </c>
      <c r="AX19" s="120"/>
      <c r="AY19" s="51" t="s">
        <v>164</v>
      </c>
      <c r="AZ19" s="144">
        <f>X19</f>
        <v>0</v>
      </c>
      <c r="BA19" s="142"/>
      <c r="BB19" s="145">
        <f>AZ19+BA19</f>
        <v>0</v>
      </c>
      <c r="BC19" s="146">
        <f>BB19-AW19</f>
        <v>-82789.8</v>
      </c>
    </row>
    <row r="20" spans="1:55" ht="24.75" customHeight="1">
      <c r="A20" s="26" t="s">
        <v>46</v>
      </c>
      <c r="B20" s="348"/>
      <c r="C20" s="388">
        <f>20+150+100+6/6*(150+800)</f>
        <v>1220</v>
      </c>
      <c r="D20" s="389"/>
      <c r="E20" s="389"/>
      <c r="F20" s="389">
        <f>99/99*(115.6+329/329*1269)</f>
        <v>1384.6</v>
      </c>
      <c r="G20" s="389">
        <v>11.9</v>
      </c>
      <c r="H20" s="389">
        <f>(43.6+125.7+259.6)+3/3*169+329/329*268+330/330*35.3+304/304*155+332/332*710+80079/80079*14.5</f>
        <v>1780.7</v>
      </c>
      <c r="I20" s="389">
        <v>21.5</v>
      </c>
      <c r="J20" s="388">
        <f>SUM(C20:I20)</f>
        <v>4418.7</v>
      </c>
      <c r="K20" s="93">
        <f>2/2*120645.72*0+3/3*120745.72*0+5/5*312982.72*0+6/6*404631.72*0+7/7*460001.22*0+8/8*482207.22*0+9/9*573319.82*0+10/10*747980.82*0+11/11*755551.82*0+12/12*761633.82+329/329*(93170*0+5/5*110110*0+6/6*237681.07*0+7/7*1017484.86*0+9/9*1537137)+8233/8233*(5887*0+3/3*8839*0+4/4*9991*0+5/5*12343*0+6/6*14695*0+7/7*17047*0+8/8*19399*0+9/9*21751*0+10/10*24103*0+26455*0+12/12*28807)+57314/57314*(1082*0+3/3*1624*0+4/4*2166*0+5/5*2708*0+6/6*3250*0+7/7*3792*0+8/8*4334*0+9/9*4876*0+10/10*5418*0+5960*0+12/12*6502)+192108/192108*(2466*0+3/3*3706*0+4/4*4048*0+5/5*4989*0+6/6*5930*0+7/7*6871*0+8/8*7812*0+9/9*8753*0+10/10*9694*0+10635*0+12/12*11576)+252811/252811*(15216*0+4/4*15416*0+6/6*37098*0+7/7*60547.8*0+11/11*40365)+80079/80079*(14577*0+12/12*89597)+3/3*(330/330*(15000*0+5/5*35266)+331/331*154880)+3/3*(5/5*21175*0+8/8*93775*0+9/9*168795)+332/332*5/5*(240000*0+7/7*278720*0+9/9*690700*0+10/10*710060)+6/6*333/333*91012.6*0*9/9+7/7*3326/3326*936.5+8/8*334/334*7000+11/11*(3016917/3016917*(1491*0+12/12*2982)+2577/2577*830)</f>
        <v>3556367.32</v>
      </c>
      <c r="L20" s="62">
        <f aca="true" t="shared" si="17" ref="L20:L26">K20/(J20*1000)</f>
        <v>0.8048447099825741</v>
      </c>
      <c r="O20" s="2"/>
      <c r="P20" s="388"/>
      <c r="Q20" s="389"/>
      <c r="R20" s="389"/>
      <c r="S20" s="389"/>
      <c r="T20" s="389"/>
      <c r="U20" s="389"/>
      <c r="V20" s="389"/>
      <c r="W20" s="388">
        <f>SUM(P20:V20)</f>
        <v>0</v>
      </c>
      <c r="X20" s="93"/>
      <c r="Y20" s="62"/>
      <c r="AA20" s="240">
        <f>K20-AB20</f>
        <v>86428</v>
      </c>
      <c r="AB20" s="93">
        <f>2/2*120645.72*0+3/3*120745.72*0+5/5*312982.72*0+6/6*404631.72*0+7/7*460001.22*0+8/8*482207.22*0+9/9*573319.82*0+10/10*747980.82*0+11/11*755551.82+329/329*(93170*0+5/5*110110*0+6/6*237681.07*0+7/7*1017484.86*0+9/9*1537137)+8233/8233*(5887*0+3/3*8839*0+4/4*9991*0+5/5*12343*0+6/6*14695*0+7/7*17047*0+8/8*19399*0+9/9*21751*0+10/10*24103*0+26455)+57314/57314*(1082*0+3/3*1624*0+4/4*2166*0+5/5*2708*0+6/6*3250*0+7/7*3792*0+8/8*4334*0+9/9*4876*0+10/10*5418*0+5960)+192108/192108*(2466*0+3/3*3706*0+4/4*4048*0+5/5*4989*0+6/6*5930*0+7/7*6871*0+8/8*7812*0+9/9*8753*0+10/10*9694*0+10635)+252811/252811*(15216*0+4/4*15416*0+6/6*37098*0+7/7*60547.8*0+11/11*40365)+80079/80079*14577+3/3*(330/330*(15000*0+5/5*35266)+331/331*154880)+3/3*(5/5*21175*0+8/8*93775*0+9/9*168795)+332/332*5/5*(240000*0+7/7*278720*0+9/9*690700*0+10/10*710060)+6/6*333/333*91012.6*0*9/9+7/7*3326/3326*936.5+8/8*334/334*7000+11/11*(3016917/3016917*1491+2577/2577*830)</f>
        <v>3469939.32</v>
      </c>
      <c r="AC20" s="85" t="s">
        <v>224</v>
      </c>
      <c r="AD20" s="201" t="s">
        <v>192</v>
      </c>
      <c r="AE20" s="201" t="s">
        <v>282</v>
      </c>
      <c r="AF20" s="201" t="s">
        <v>291</v>
      </c>
      <c r="AG20" s="201" t="s">
        <v>341</v>
      </c>
      <c r="AH20" s="201" t="s">
        <v>394</v>
      </c>
      <c r="AI20" s="229" t="s">
        <v>441</v>
      </c>
      <c r="AJ20" s="229" t="s">
        <v>501</v>
      </c>
      <c r="AK20" s="255" t="s">
        <v>548</v>
      </c>
      <c r="AL20" s="255" t="s">
        <v>594</v>
      </c>
      <c r="AM20" s="255" t="s">
        <v>651</v>
      </c>
      <c r="AN20" s="73">
        <f>AA20-1/1*(25811.72+100*(1/1+2/2*2)+1/1*(540+1226+2935)+2/2*(542+1240+2952)+97554+(-2820+12838)+2178+93170+14577)*0-3/3*(100+15000+154880+(542+1240+2952))*0-4/4*((1152+542+342)+200)*0-5/5*(188637+3600+21175+16940+20266+240000+(2352+542+941))*0-6/6*((22772+21177)+47600+100+(2352+542+941)+(3233+18449)+127571.07+91012.6)*0-7/7*(9000+(2352+542+941)+(2809.5+936.5)+43560+779803.79+(3267+20182.8)+38720)*0-8/8*(22206+72600+7000+(2352+542+941))*0-9/9*(91012.6-91012.6+100+(2352+542+941)+(278108.43+45000+179603.71+16940)+75020+408980+3000)*0-10/10*(10890+1873+(2352+542+941)+38178+24999+(30265+40966+27490)+19360)*0-11/11*(1347+(2352+542+941+11/11*(1491+830))+624+5600-20182.8)*0-12/12*(75020+468+(2352+542+941+1491)+(1815+3799))</f>
        <v>0</v>
      </c>
      <c r="AO20" s="328">
        <f>X20-AP20</f>
        <v>0</v>
      </c>
      <c r="AP20" s="93"/>
      <c r="AQ20" s="118"/>
      <c r="AR20" s="119">
        <f>AO20-1.2/1.2*0</f>
        <v>0</v>
      </c>
      <c r="AU20" s="141">
        <f>K20</f>
        <v>3556367.32</v>
      </c>
      <c r="AV20" s="142"/>
      <c r="AW20" s="143">
        <f>AU20+AV20</f>
        <v>3556367.32</v>
      </c>
      <c r="AX20" s="120"/>
      <c r="AY20" s="51"/>
      <c r="AZ20" s="144">
        <f>X20</f>
        <v>0</v>
      </c>
      <c r="BA20" s="142"/>
      <c r="BB20" s="145">
        <f>AZ20+BA20</f>
        <v>0</v>
      </c>
      <c r="BC20" s="146">
        <f>BB20-AW20</f>
        <v>-3556367.32</v>
      </c>
    </row>
    <row r="21" spans="1:56" ht="15">
      <c r="A21" s="28" t="s">
        <v>40</v>
      </c>
      <c r="B21" s="352"/>
      <c r="C21" s="393">
        <f>SUM(C18:C20)</f>
        <v>4970</v>
      </c>
      <c r="D21" s="393">
        <f aca="true" t="shared" si="18" ref="D21:J21">SUM(D18:D20)</f>
        <v>0</v>
      </c>
      <c r="E21" s="393">
        <f>SUM(E18:E20)</f>
        <v>0</v>
      </c>
      <c r="F21" s="393">
        <f t="shared" si="18"/>
        <v>2744.6</v>
      </c>
      <c r="G21" s="393">
        <f t="shared" si="18"/>
        <v>11.9</v>
      </c>
      <c r="H21" s="393">
        <f t="shared" si="18"/>
        <v>2493.9</v>
      </c>
      <c r="I21" s="393">
        <f t="shared" si="18"/>
        <v>-1047.8</v>
      </c>
      <c r="J21" s="393">
        <f t="shared" si="18"/>
        <v>9172.6</v>
      </c>
      <c r="K21" s="96">
        <f>SUM(K18:K20)</f>
        <v>8599681.969999999</v>
      </c>
      <c r="L21" s="461">
        <f t="shared" si="17"/>
        <v>0.9375402797462005</v>
      </c>
      <c r="M21" s="288">
        <f>(1.2/1.2*0+3/3*4970*0+4/4*6563.8*0+6/6*9308.4*0+9/9*9320.3*0+12/12*10731.5+204/204*34.9-J21-90/90*J117)+(1.2/1.2*1418109.92*0+3/3*2097239.92*0+4/4*3365996.12*0+5/5*4391853.04*0+6/6*5502652.25*0+7/7*7567808.84*0+8/8*8456447.48*0+9/9*9543277.62*0+10/10*9861268.62*0+11/11*9859047.82*0+12/12*(10158566.82+204/204*34870)-K21-90/90*K117)</f>
        <v>1.396301740896888E-09</v>
      </c>
      <c r="O21" s="4"/>
      <c r="P21" s="393">
        <f>SUM(P18:P20)</f>
        <v>0</v>
      </c>
      <c r="Q21" s="393">
        <f aca="true" t="shared" si="19" ref="Q21:W21">SUM(Q18:Q20)</f>
        <v>0</v>
      </c>
      <c r="R21" s="393">
        <f>SUM(R18:R20)</f>
        <v>0</v>
      </c>
      <c r="S21" s="393">
        <f t="shared" si="19"/>
        <v>0</v>
      </c>
      <c r="T21" s="393">
        <f t="shared" si="19"/>
        <v>0</v>
      </c>
      <c r="U21" s="393">
        <f t="shared" si="19"/>
        <v>0</v>
      </c>
      <c r="V21" s="393">
        <f t="shared" si="19"/>
        <v>0</v>
      </c>
      <c r="W21" s="393">
        <f t="shared" si="19"/>
        <v>0</v>
      </c>
      <c r="X21" s="96">
        <f>SUM(X18:X20)</f>
        <v>0</v>
      </c>
      <c r="Y21" s="64"/>
      <c r="Z21" s="288">
        <f>(7/7*0-W21)+(7/7*0-X21)</f>
        <v>0</v>
      </c>
      <c r="AA21" s="319">
        <f>SUM(AA18:AA20)</f>
        <v>334389</v>
      </c>
      <c r="AB21" s="96">
        <f>SUM(AB18:AB20)</f>
        <v>8265292.969999999</v>
      </c>
      <c r="AC21" s="179"/>
      <c r="AD21" s="179"/>
      <c r="AE21" s="179"/>
      <c r="AF21" s="179"/>
      <c r="AG21" s="179"/>
      <c r="AH21" s="179"/>
      <c r="AI21" s="296"/>
      <c r="AJ21" s="296"/>
      <c r="AK21" s="457"/>
      <c r="AL21" s="457"/>
      <c r="AM21" s="457"/>
      <c r="AN21" s="281">
        <f>SUM(AN18:AN20)</f>
        <v>0</v>
      </c>
      <c r="AO21" s="180">
        <f>SUM(AO18:AO20)</f>
        <v>0</v>
      </c>
      <c r="AP21" s="96">
        <f>SUM(AP18:AP20)</f>
        <v>0</v>
      </c>
      <c r="AQ21" s="180"/>
      <c r="AR21" s="180">
        <f>SUM(AR18:AR20)</f>
        <v>0</v>
      </c>
      <c r="AU21" s="172">
        <f aca="true" t="shared" si="20" ref="AU21:BC21">SUM(AU18:AU20)</f>
        <v>8599681.969999999</v>
      </c>
      <c r="AV21" s="173">
        <f t="shared" si="20"/>
        <v>0</v>
      </c>
      <c r="AW21" s="174">
        <f t="shared" si="20"/>
        <v>8599681.969999999</v>
      </c>
      <c r="AX21" s="121"/>
      <c r="AY21" s="121"/>
      <c r="AZ21" s="175">
        <f t="shared" si="20"/>
        <v>0</v>
      </c>
      <c r="BA21" s="173"/>
      <c r="BB21" s="173">
        <f t="shared" si="20"/>
        <v>0</v>
      </c>
      <c r="BC21" s="176">
        <f t="shared" si="20"/>
        <v>-8599681.969999999</v>
      </c>
      <c r="BD21" s="197">
        <f>AZ21-X21</f>
        <v>0</v>
      </c>
    </row>
    <row r="22" spans="1:55" ht="12.75">
      <c r="A22" s="26" t="s">
        <v>13</v>
      </c>
      <c r="B22" s="348"/>
      <c r="C22" s="388">
        <f>2094*1.025+3.65</f>
        <v>2150</v>
      </c>
      <c r="D22" s="389"/>
      <c r="E22" s="389"/>
      <c r="F22" s="389"/>
      <c r="G22" s="389"/>
      <c r="H22" s="389"/>
      <c r="I22" s="394"/>
      <c r="J22" s="388">
        <f aca="true" t="shared" si="21" ref="J22:J30">SUM(C22:I22)</f>
        <v>2150</v>
      </c>
      <c r="K22" s="93">
        <f>2/2*540000+4/4*540000+9/9*540000+12/12*530000</f>
        <v>2150000</v>
      </c>
      <c r="L22" s="62">
        <f t="shared" si="17"/>
        <v>1</v>
      </c>
      <c r="M22" s="462">
        <f>K22+K23+96/96*(94100*0+12/12*(187500*0+188200))+33063/33063*(533258.4*0+K138)+98/98*59500-4/4*1088675.7*0-7/7*1225275.7*0-8/8*1255686.7*0-10/10*1945095.7*0-11/11*2006603.7*0-12/12*3283064.82</f>
        <v>0</v>
      </c>
      <c r="O22" s="4"/>
      <c r="P22" s="388"/>
      <c r="Q22" s="394"/>
      <c r="R22" s="394"/>
      <c r="S22" s="394"/>
      <c r="T22" s="394"/>
      <c r="U22" s="394"/>
      <c r="V22" s="394"/>
      <c r="W22" s="388">
        <f aca="true" t="shared" si="22" ref="W22:W30">SUM(P22:V22)</f>
        <v>0</v>
      </c>
      <c r="X22" s="93"/>
      <c r="Y22" s="62"/>
      <c r="AA22" s="240">
        <f aca="true" t="shared" si="23" ref="AA22:AA30">K22-AB22</f>
        <v>530000</v>
      </c>
      <c r="AB22" s="93">
        <f>2/2*540000+4/4*540000+9/9*540000</f>
        <v>1620000</v>
      </c>
      <c r="AC22" s="85" t="s">
        <v>129</v>
      </c>
      <c r="AD22" s="201"/>
      <c r="AE22" s="201" t="s">
        <v>248</v>
      </c>
      <c r="AF22" s="201"/>
      <c r="AG22" s="201"/>
      <c r="AH22" s="201"/>
      <c r="AI22" s="229"/>
      <c r="AJ22" s="229" t="s">
        <v>502</v>
      </c>
      <c r="AK22" s="255"/>
      <c r="AL22" s="255"/>
      <c r="AM22" s="201" t="s">
        <v>653</v>
      </c>
      <c r="AN22" s="73">
        <f>AA22-2/2*540000*0-4/4*540000*(0+9/9*0)-12/12*530000</f>
        <v>0</v>
      </c>
      <c r="AO22" s="328">
        <f aca="true" t="shared" si="24" ref="AO22:AO30">X22-AP22</f>
        <v>0</v>
      </c>
      <c r="AP22" s="93"/>
      <c r="AQ22" s="118"/>
      <c r="AR22" s="119">
        <f aca="true" t="shared" si="25" ref="AR22:AR30">AO22-1.2/1.2*0</f>
        <v>0</v>
      </c>
      <c r="AU22" s="141">
        <f aca="true" t="shared" si="26" ref="AU22:AU30">K22</f>
        <v>2150000</v>
      </c>
      <c r="AV22" s="142"/>
      <c r="AW22" s="143">
        <f aca="true" t="shared" si="27" ref="AW22:AW30">AU22+AV22</f>
        <v>2150000</v>
      </c>
      <c r="AX22" s="120"/>
      <c r="AY22" s="51"/>
      <c r="AZ22" s="144">
        <f aca="true" t="shared" si="28" ref="AZ22:AZ30">X22</f>
        <v>0</v>
      </c>
      <c r="BA22" s="142"/>
      <c r="BB22" s="145">
        <f aca="true" t="shared" si="29" ref="BB22:BB30">AZ22+BA22</f>
        <v>0</v>
      </c>
      <c r="BC22" s="146">
        <f aca="true" t="shared" si="30" ref="BC22:BC30">BB22-AW22</f>
        <v>-2150000</v>
      </c>
    </row>
    <row r="23" spans="1:55" ht="17.25">
      <c r="A23" s="26" t="s">
        <v>56</v>
      </c>
      <c r="B23" s="348"/>
      <c r="C23" s="388"/>
      <c r="D23" s="389"/>
      <c r="E23" s="389">
        <v>6</v>
      </c>
      <c r="F23" s="389"/>
      <c r="G23" s="389"/>
      <c r="H23" s="389">
        <f>(17.5+46)+1100/1100*161.5</f>
        <v>225</v>
      </c>
      <c r="I23" s="394">
        <v>116.2</v>
      </c>
      <c r="J23" s="388">
        <f t="shared" si="21"/>
        <v>347.2</v>
      </c>
      <c r="K23" s="93">
        <f>2/2*5808*0+3/3*8675.7*0+8/8*39086.7*0+9/9*53786.7*0+10/10*69536.7*0+11/11*131044.7*0+12/12*(133987.42-98/98*59500)+1100/1100*(5/5*42500*0+9/9*161459)+1368/1368*12/12*116160</f>
        <v>352106.42000000004</v>
      </c>
      <c r="L23" s="339">
        <f t="shared" si="17"/>
        <v>1.0141313940092167</v>
      </c>
      <c r="M23" s="337">
        <f>404/404*(133987.42-98/98*59500+1100/1100*161459+1368/1368*116160)-K23</f>
        <v>0</v>
      </c>
      <c r="O23" s="4"/>
      <c r="P23" s="388"/>
      <c r="Q23" s="394"/>
      <c r="R23" s="394"/>
      <c r="S23" s="394"/>
      <c r="T23" s="394"/>
      <c r="U23" s="394"/>
      <c r="V23" s="394"/>
      <c r="W23" s="388">
        <f t="shared" si="22"/>
        <v>0</v>
      </c>
      <c r="X23" s="93"/>
      <c r="Y23" s="62"/>
      <c r="AA23" s="240">
        <f t="shared" si="23"/>
        <v>59602.72000000003</v>
      </c>
      <c r="AB23" s="93">
        <f>2/2*5808*0+3/3*8675.7*0+8/8*39086.7*0+9/9*53786.7*0+10/10*69536.7*0+11/11*131044.7+1100/1100*5/5*42500*0+9/9*161459</f>
        <v>292503.7</v>
      </c>
      <c r="AC23" s="85" t="s">
        <v>131</v>
      </c>
      <c r="AD23" s="201" t="s">
        <v>195</v>
      </c>
      <c r="AE23" s="201"/>
      <c r="AF23" s="201" t="s">
        <v>293</v>
      </c>
      <c r="AG23" s="201"/>
      <c r="AH23" s="201"/>
      <c r="AI23" s="229" t="s">
        <v>443</v>
      </c>
      <c r="AJ23" s="229" t="s">
        <v>503</v>
      </c>
      <c r="AK23" s="255" t="s">
        <v>551</v>
      </c>
      <c r="AL23" s="255" t="s">
        <v>595</v>
      </c>
      <c r="AM23" s="201" t="s">
        <v>675</v>
      </c>
      <c r="AN23" s="73">
        <f>AA23-2/2*5808*0-3/3*2867.7*0-5/5*42500*0-8/8*(7623+22788)*0-9/9*(14700+112259+6700)*0-10/10*15750*0-11/11*(11166+11605+36801+1936)*0-12/12*(2942.72-59500+116160)</f>
        <v>0</v>
      </c>
      <c r="AO23" s="328">
        <f t="shared" si="24"/>
        <v>0</v>
      </c>
      <c r="AP23" s="93"/>
      <c r="AQ23" s="118"/>
      <c r="AR23" s="119">
        <f t="shared" si="25"/>
        <v>0</v>
      </c>
      <c r="AU23" s="141">
        <f t="shared" si="26"/>
        <v>352106.42000000004</v>
      </c>
      <c r="AV23" s="142"/>
      <c r="AW23" s="143">
        <f t="shared" si="27"/>
        <v>352106.42000000004</v>
      </c>
      <c r="AX23" s="120"/>
      <c r="AY23" s="51"/>
      <c r="AZ23" s="144">
        <f t="shared" si="28"/>
        <v>0</v>
      </c>
      <c r="BA23" s="142"/>
      <c r="BB23" s="145">
        <f t="shared" si="29"/>
        <v>0</v>
      </c>
      <c r="BC23" s="146">
        <f t="shared" si="30"/>
        <v>-352106.42000000004</v>
      </c>
    </row>
    <row r="24" spans="1:55" ht="12.75">
      <c r="A24" s="26" t="s">
        <v>14</v>
      </c>
      <c r="B24" s="348"/>
      <c r="C24" s="388">
        <f>4960*1.025+16</f>
        <v>5100</v>
      </c>
      <c r="D24" s="389"/>
      <c r="E24" s="389"/>
      <c r="F24" s="389"/>
      <c r="G24" s="389">
        <f>9/9*1200</f>
        <v>1200</v>
      </c>
      <c r="H24" s="389"/>
      <c r="I24" s="394"/>
      <c r="J24" s="388">
        <f t="shared" si="21"/>
        <v>6300</v>
      </c>
      <c r="K24" s="93">
        <f>2/2*1280000+4/4*1280000+9/9*1275000+5/5*111217/111217*1200000+12/12*1265000</f>
        <v>6300000</v>
      </c>
      <c r="L24" s="62">
        <f t="shared" si="17"/>
        <v>1</v>
      </c>
      <c r="M24" s="462">
        <f>K24+K25+98/98*(K96*0+3252*0+7371.1*0+11/11*8760.1*0+12/12*9302.1+6500)+(84/84*K113)+90/90*K115+84/84*K116+108/108*K92+81/81*K102+91/91*K103+363/363*K135+(K136)+K137+33122/33122*K139+96/96*(K104*0+142400*2)+11/11*(1112/1112*K122+102/102*K123)-4/4*12717279.98*0-7/7*21109258.21*0-8/8*23144519.61*0-10/10*28690032.52*0-11/11*31124012.81*0-12/12*31728754.1</f>
        <v>0</v>
      </c>
      <c r="O24" s="4"/>
      <c r="P24" s="388"/>
      <c r="Q24" s="394"/>
      <c r="R24" s="394"/>
      <c r="S24" s="394"/>
      <c r="T24" s="394"/>
      <c r="U24" s="394"/>
      <c r="V24" s="394"/>
      <c r="W24" s="388">
        <f t="shared" si="22"/>
        <v>0</v>
      </c>
      <c r="X24" s="93"/>
      <c r="Y24" s="62"/>
      <c r="AA24" s="240">
        <f t="shared" si="23"/>
        <v>1265000</v>
      </c>
      <c r="AB24" s="343">
        <f>2/2*1280000+4/4*1280000+9/9*1275000+5/5*111217/111217*1200000</f>
        <v>5035000</v>
      </c>
      <c r="AC24" s="85" t="s">
        <v>130</v>
      </c>
      <c r="AD24" s="201"/>
      <c r="AE24" s="201" t="s">
        <v>249</v>
      </c>
      <c r="AF24" s="201" t="s">
        <v>296</v>
      </c>
      <c r="AG24" s="201"/>
      <c r="AH24" s="201"/>
      <c r="AI24" s="229">
        <f>51600-41298.9</f>
        <v>10301.099999999999</v>
      </c>
      <c r="AJ24" s="229" t="s">
        <v>504</v>
      </c>
      <c r="AK24" s="255"/>
      <c r="AL24" s="255"/>
      <c r="AM24" s="201" t="s">
        <v>654</v>
      </c>
      <c r="AN24" s="73">
        <f>AA24-2/2*1280000*0-4/4*1280000*0-5/5*1200000*0-9/9*1275000*0-12/12*1265000</f>
        <v>0</v>
      </c>
      <c r="AO24" s="328">
        <f t="shared" si="24"/>
        <v>0</v>
      </c>
      <c r="AP24" s="93"/>
      <c r="AQ24" s="118"/>
      <c r="AR24" s="119">
        <f t="shared" si="25"/>
        <v>0</v>
      </c>
      <c r="AU24" s="141">
        <f t="shared" si="26"/>
        <v>6300000</v>
      </c>
      <c r="AV24" s="142"/>
      <c r="AW24" s="143">
        <f t="shared" si="27"/>
        <v>6300000</v>
      </c>
      <c r="AX24" s="120"/>
      <c r="AY24" s="51"/>
      <c r="AZ24" s="144">
        <f t="shared" si="28"/>
        <v>0</v>
      </c>
      <c r="BA24" s="142"/>
      <c r="BB24" s="145">
        <f t="shared" si="29"/>
        <v>0</v>
      </c>
      <c r="BC24" s="146">
        <f t="shared" si="30"/>
        <v>-6300000</v>
      </c>
    </row>
    <row r="25" spans="1:55" ht="34.5" customHeight="1">
      <c r="A25" s="26" t="s">
        <v>57</v>
      </c>
      <c r="B25" s="348"/>
      <c r="C25" s="388">
        <f>400+1500+2000+414/414*5000</f>
        <v>8900</v>
      </c>
      <c r="D25" s="389"/>
      <c r="E25" s="389">
        <v>106</v>
      </c>
      <c r="F25" s="389"/>
      <c r="G25" s="389"/>
      <c r="H25" s="389">
        <f>(-86+934.5)+433/433*602.4+11122/11122*14</f>
        <v>1464.9</v>
      </c>
      <c r="I25" s="394">
        <f>-6900*0-(5000+400+1500)</f>
        <v>-6900</v>
      </c>
      <c r="J25" s="388">
        <f t="shared" si="21"/>
        <v>3570.8999999999996</v>
      </c>
      <c r="K25" s="93">
        <f>(5139/5139*8/8*4750+5151/5151*2/2*109699*0+5/5*186649*0+8/8*263599*0+9/9*256736*0+11/11*333686*0*12/12+5152/5152*(2/2*237733.8*0+3/3*-198150.89*0+4/4*-109477.3*0+5/5*-82559.3*0+6/6*-44823.65*0+7/7*-15097.47*0+8/8*-4796.37*0+9/9*30524.81*0+10/10*(171824.81*0+152697.43)*0+11/11*276474.2*0+12/12*105663.91)+5154/5154*(2/2*249612*0+3/3*319791*0+4/4*372058*0+5/5*421054*0+6/6*463279*0+8/8*500855*0+9/9*510411*0+10/10*579090*0+11/11*654562*0+12/12*83973)+5162/5162*(2/2*7.86*0+3/3*9.07*0+4/4*10.28*0+5/5*13.31*0+6/6*14.52*0+7/7*19.36*0+8/8*44.17*0+9/9*47.2*0+10/10*55.67*0+11/11*56.88*0+12/12*61.12)+5169/5169*(2/2*15629*0+4/4*17139*0+10/10*18649)+5171/5171*(3/3*2384*0+4/4*25683*0+6/6*74558.05*0+7/7*195958.05*0+8/8*536552.74*0+9/9*537520.74*0+10/10*597284.74*0+11/11*934382.74))+11122/11122*14157+2040087/2040087*(4437212*0+3/3*6172017*0+4/4*8798394*0-2/2*90/90*90000*0+5/5*10785364.78*0+6/6*11927934.47*0+7/7*12528452.47*0+8/8*13656616.47*0+10/10*(14373210.47*0+14837569.47*0+11/11*4123969.47*0+12/12*3021765.47))+432/432*(309760*0+4/4*509760*0*11/11)+433/433*6/6*342067*0+10/10*602391+11/11*(-6/6*98/98*6500+3108/3108*-4500)*0</f>
        <v>4785793.24</v>
      </c>
      <c r="L25" s="62">
        <f t="shared" si="17"/>
        <v>1.3402204598280547</v>
      </c>
      <c r="M25" s="377">
        <f>(K24+K25-11/11*11998078.29*0-12/12*11085793.24)*0+3112/3112*(403/403*1153979.77-98/98*6500+404/404*(602391+4329/4329*9302.1*0*98/98+11122/11122*14157+2040087/2040087*3021765.47))-K25</f>
        <v>0</v>
      </c>
      <c r="O25" s="4"/>
      <c r="P25" s="388"/>
      <c r="Q25" s="394"/>
      <c r="R25" s="394"/>
      <c r="S25" s="394"/>
      <c r="T25" s="394"/>
      <c r="U25" s="394"/>
      <c r="V25" s="394"/>
      <c r="W25" s="388">
        <f t="shared" si="22"/>
        <v>0</v>
      </c>
      <c r="X25" s="93"/>
      <c r="Y25" s="62"/>
      <c r="AA25" s="240">
        <f t="shared" si="23"/>
        <v>-2177285.05</v>
      </c>
      <c r="AB25" s="343">
        <f>(5139/5139*8/8*4750+5151/5151*2/2*109699*0+5/5*186649*0+8/8*263599*0+9/9*256736*0+11/11*333686+5152/5152*(2/2*237733.8*0+3/3*-198150.89*0+4/4*-109477.3*0+5/5*-82559.3*0+6/6*-44823.65*0+7/7*-15097.47*0+8/8*-4796.37*0+9/9*30524.81*0+10/10*(171824.81*0+152697.43)*0+11/11*276474.2)+5154/5154*(2/2*249612*0+3/3*319791*0+4/4*372058*0+5/5*421054*0+6/6*463279*0+8/8*500855*0+9/9*510411*0+10/10*579090*0+11/11*654562)+5162/5162*(2/2*7.86*0+3/3*9.07*0+4/4*10.28*0+5/5*13.31*0+6/6*14.52*0+7/7*19.36*0+8/8*44.17*0+9/9*47.2*0+10/10*55.67*0+11/11*56.88)+5169/5169*(2/2*15629*0+4/4*17139*0+10/10*18649)+5171/5171*(3/3*2384*0+4/4*25683*0+6/6*74558.05*0+7/7*195958.05*0+8/8*536552.74*0+9/9*537520.74*0+10/10*597284.74*0+11/11*934382.74))+11122/11122*14157+2040087/2040087*(4437212*0+3/3*6172017*0+4/4*8798394*0-2/2*90/90*90000*0+5/5*10785364.78*0+6/6*11927934.47*0+7/7*12528452.47*0+8/8*13656616.47*0+10/10*(14373210.47*0+14837569.47*0+11/11*4123969.47))+432/432*(309760*0+4/4*509760*0*11/11)+433/433*6/6*342067*0+10/10*602391+11/11*(-6/6*98/98*6500+3108/3108*-4500)*0</f>
        <v>6963078.29</v>
      </c>
      <c r="AC25" s="85" t="s">
        <v>225</v>
      </c>
      <c r="AD25" s="229" t="s">
        <v>197</v>
      </c>
      <c r="AE25" s="201" t="s">
        <v>283</v>
      </c>
      <c r="AF25" s="201" t="s">
        <v>330</v>
      </c>
      <c r="AG25" s="201" t="s">
        <v>378</v>
      </c>
      <c r="AH25" s="201" t="s">
        <v>402</v>
      </c>
      <c r="AI25" s="229" t="s">
        <v>487</v>
      </c>
      <c r="AJ25" s="229" t="s">
        <v>506</v>
      </c>
      <c r="AK25" s="255" t="s">
        <v>685</v>
      </c>
      <c r="AL25" s="255" t="s">
        <v>601</v>
      </c>
      <c r="AM25" s="201" t="s">
        <v>686</v>
      </c>
      <c r="AN25" s="73">
        <f>AA25-5/5*(76950+26918+48996+3.03+(14520*2+9680+19360+31460+1807430.78))*0-6/6*(37735.65*0-25764.35+63500+48875.05+42225+1.21+(19360+18150+1105059.69)+342067)*0-7/7*((3324.42*0-22173.82+51900)+121000+4.84+(639698+7260))*0-8/8*(5139/5139*4750+51/51*76950+52/52*(-41298.9+51600)+37576+24.81+(156923.69+183671)+(1045.884+19.36+62.92)*1000)*0-9/9*(-6863+35321.18+9556+3.03+968)*0-10/10*(260324+407862+192088+116644+464359+(141300-19127.38+68679+8.47+1510+59761*0+59764))*0-11/11*(76950+165000-41223.23-1112/1112*10713600-102/102*509760)*0-12/12*(265214.8-36178.52+195800+(-595646.57-257912-60680+971-16065-305829-264760)+4.24+542)</f>
        <v>-1102746</v>
      </c>
      <c r="AO25" s="328">
        <f t="shared" si="24"/>
        <v>0</v>
      </c>
      <c r="AP25" s="93"/>
      <c r="AQ25" s="118"/>
      <c r="AR25" s="119">
        <f t="shared" si="25"/>
        <v>0</v>
      </c>
      <c r="AU25" s="141">
        <f t="shared" si="26"/>
        <v>4785793.24</v>
      </c>
      <c r="AV25" s="463">
        <f>1.2/1.2*5669.88*0+7/7*6188.88*0+8/8*6236.88*0+9/9*6306.88*0+10/10*6417.88*0+11/11*6461.88*0+12/12*6506.88*0+2017/2017*1.2/1.2*59*0+3/3*114*0+4/4*203*0+5/5*295*0+6/6*445*0+7/7*564*0+8/8*619*0+9/9*668*0+10/10*736*0+11/11*794*0+12/12*823</f>
        <v>823</v>
      </c>
      <c r="AW25" s="143">
        <f t="shared" si="27"/>
        <v>4786616.24</v>
      </c>
      <c r="AX25" s="188" t="s">
        <v>177</v>
      </c>
      <c r="AY25" s="51"/>
      <c r="AZ25" s="144">
        <f t="shared" si="28"/>
        <v>0</v>
      </c>
      <c r="BA25" s="463">
        <f>3/3*8540.13*0+4/4*57778.65*0+5/5*77038.19*0+6/6*182453.52*0+8/8*302116.9*0+9/9*358015.14*0+10/10*406148.05*0+11/11*504085.32*0+12/12*567244.11*0+2017/2017*1.2/1.2*0+3/3*31065.74*0+4/4*74282.96*0+5/5*139477.56*0+6/6*204803.02*0+8/8*313369.49*0+9/9*366980.62*0+10/10*405977.83*0+11/11*474009.56*0+12/12*527159.72</f>
        <v>527159.72</v>
      </c>
      <c r="BB25" s="145">
        <f t="shared" si="29"/>
        <v>527159.72</v>
      </c>
      <c r="BC25" s="146">
        <f t="shared" si="30"/>
        <v>-4259456.5200000005</v>
      </c>
    </row>
    <row r="26" spans="1:55" ht="19.5">
      <c r="A26" s="26" t="s">
        <v>15</v>
      </c>
      <c r="B26" s="348"/>
      <c r="C26" s="388">
        <f>1390*1.025+5.25</f>
        <v>1429.9999999999998</v>
      </c>
      <c r="D26" s="389"/>
      <c r="E26" s="389"/>
      <c r="F26" s="389"/>
      <c r="G26" s="389"/>
      <c r="H26" s="389"/>
      <c r="I26" s="394"/>
      <c r="J26" s="388">
        <f t="shared" si="21"/>
        <v>1429.9999999999998</v>
      </c>
      <c r="K26" s="93">
        <f>((2/2+4/4+9/9+12/12)*360000+12/12*-10000)+5152/5152*(2/2*39232.97*0+3/3*-17507.15*0+4/4*-1878.99*0+5/5*11914.63*0+6/6*20676.26*0+7/7*29067.58*0+8/8*30623.34*0+9/9*32637.84*0+10/10*40736.31*0+11/11*52253.63*0*12/12)+5169/5169*12/12*59290+5171/5171*(29500-12/12*98/98*29500)</f>
        <v>1489290</v>
      </c>
      <c r="L26" s="62">
        <f t="shared" si="17"/>
        <v>1.0414615384615387</v>
      </c>
      <c r="M26" s="377">
        <f>(K26+96/96*(25300+12/12*25200)+98/98*29500-7/7*803867.58*0-8/8*805423.34*0-11/11*1187053.63*0-12/12*1569290)*0+3112/3112*1430000+88790-98/98*29500-K26</f>
        <v>0</v>
      </c>
      <c r="O26" s="4"/>
      <c r="P26" s="388"/>
      <c r="Q26" s="394"/>
      <c r="R26" s="394"/>
      <c r="S26" s="394"/>
      <c r="T26" s="394"/>
      <c r="U26" s="394"/>
      <c r="V26" s="394"/>
      <c r="W26" s="388">
        <f t="shared" si="22"/>
        <v>0</v>
      </c>
      <c r="X26" s="93"/>
      <c r="Y26" s="62"/>
      <c r="AA26" s="240">
        <f t="shared" si="23"/>
        <v>327536.3700000001</v>
      </c>
      <c r="AB26" s="343">
        <f>(2/2+4/4+9/9)*360000+5152/5152*(2/2*39232.97*0+3/3*-17507.15*0+4/4*-1878.99*0+5/5*11914.63*0+6/6*20676.26*0+7/7*29067.58*0+8/8*30623.34*0+9/9*32637.84*0+10/10*40736.31*0+11/11*52253.63)+5171/5171*29500</f>
        <v>1161753.63</v>
      </c>
      <c r="AC26" s="85" t="s">
        <v>133</v>
      </c>
      <c r="AD26" s="201" t="s">
        <v>198</v>
      </c>
      <c r="AE26" s="201" t="s">
        <v>251</v>
      </c>
      <c r="AF26" s="201" t="s">
        <v>295</v>
      </c>
      <c r="AG26" s="201" t="s">
        <v>342</v>
      </c>
      <c r="AH26" s="201" t="s">
        <v>399</v>
      </c>
      <c r="AI26" s="229" t="s">
        <v>442</v>
      </c>
      <c r="AJ26" s="229" t="s">
        <v>505</v>
      </c>
      <c r="AK26" s="464" t="s">
        <v>553</v>
      </c>
      <c r="AL26" s="465">
        <f>(14837569.47-11/11*4123969.47)-(6680900+4008500+24200)*0</f>
        <v>10713600</v>
      </c>
      <c r="AM26" s="201" t="s">
        <v>666</v>
      </c>
      <c r="AN26" s="73">
        <f>AA26-2/2*(360000+5152/5152*(18007.67+21225.3))*0-3/3*(-76720.79+19980.67)*0-4/4*(360000+15628.16)*0-5/5*13793.62*0-6/6*(8761.63+29500)*0-7/7*8391.32*0-8/8*1555.76*0-9/9*(360000+2014.5)*0-10/10*8098.47*0-12/12*(350000-98/98*29500+59290-52253.63)</f>
        <v>0</v>
      </c>
      <c r="AO26" s="328">
        <f t="shared" si="24"/>
        <v>0</v>
      </c>
      <c r="AP26" s="93"/>
      <c r="AQ26" s="118"/>
      <c r="AR26" s="119">
        <f t="shared" si="25"/>
        <v>0</v>
      </c>
      <c r="AU26" s="141">
        <f t="shared" si="26"/>
        <v>1489290</v>
      </c>
      <c r="AV26" s="142"/>
      <c r="AW26" s="143">
        <f t="shared" si="27"/>
        <v>1489290</v>
      </c>
      <c r="AX26" s="120"/>
      <c r="AY26" s="51"/>
      <c r="AZ26" s="144">
        <f t="shared" si="28"/>
        <v>0</v>
      </c>
      <c r="BA26" s="142"/>
      <c r="BB26" s="145">
        <f t="shared" si="29"/>
        <v>0</v>
      </c>
      <c r="BC26" s="146">
        <f t="shared" si="30"/>
        <v>-1489290</v>
      </c>
    </row>
    <row r="27" spans="1:55" ht="12.75">
      <c r="A27" s="26" t="s">
        <v>128</v>
      </c>
      <c r="B27" s="348"/>
      <c r="C27" s="388"/>
      <c r="D27" s="389"/>
      <c r="E27" s="389"/>
      <c r="F27" s="389"/>
      <c r="G27" s="389"/>
      <c r="H27" s="389">
        <v>30.3</v>
      </c>
      <c r="I27" s="394"/>
      <c r="J27" s="388">
        <f t="shared" si="21"/>
        <v>30.3</v>
      </c>
      <c r="K27" s="93">
        <f>2/2*30250</f>
        <v>30250</v>
      </c>
      <c r="L27" s="62"/>
      <c r="M27" s="380">
        <f>K27-30250</f>
        <v>0</v>
      </c>
      <c r="O27" s="4"/>
      <c r="P27" s="388"/>
      <c r="Q27" s="394"/>
      <c r="R27" s="394"/>
      <c r="S27" s="394"/>
      <c r="T27" s="394"/>
      <c r="U27" s="394"/>
      <c r="V27" s="394"/>
      <c r="W27" s="388">
        <f>SUM(P27:V27)</f>
        <v>0</v>
      </c>
      <c r="X27" s="93"/>
      <c r="Y27" s="62"/>
      <c r="AA27" s="240">
        <f>K27-AB27</f>
        <v>0</v>
      </c>
      <c r="AB27" s="343">
        <f>2/2*30250</f>
        <v>30250</v>
      </c>
      <c r="AC27" s="85" t="s">
        <v>132</v>
      </c>
      <c r="AD27" s="201"/>
      <c r="AE27" s="201">
        <f>(1503229+19360+31460+14520+345712+712096)</f>
        <v>2626377</v>
      </c>
      <c r="AF27" s="201"/>
      <c r="AG27" s="201"/>
      <c r="AH27" s="201"/>
      <c r="AI27" s="229"/>
      <c r="AJ27" s="229"/>
      <c r="AK27" s="255"/>
      <c r="AL27" s="255"/>
      <c r="AM27" s="255"/>
      <c r="AN27" s="73">
        <f>AA27-2/2*30250*0</f>
        <v>0</v>
      </c>
      <c r="AO27" s="328">
        <f t="shared" si="24"/>
        <v>0</v>
      </c>
      <c r="AP27" s="93"/>
      <c r="AQ27" s="118"/>
      <c r="AR27" s="119">
        <f t="shared" si="25"/>
        <v>0</v>
      </c>
      <c r="AU27" s="141">
        <f t="shared" si="26"/>
        <v>30250</v>
      </c>
      <c r="AV27" s="142"/>
      <c r="AW27" s="143">
        <f t="shared" si="27"/>
        <v>30250</v>
      </c>
      <c r="AX27" s="120"/>
      <c r="AY27" s="51"/>
      <c r="AZ27" s="144">
        <f t="shared" si="28"/>
        <v>0</v>
      </c>
      <c r="BA27" s="142"/>
      <c r="BB27" s="145">
        <f t="shared" si="29"/>
        <v>0</v>
      </c>
      <c r="BC27" s="146">
        <f t="shared" si="30"/>
        <v>-30250</v>
      </c>
    </row>
    <row r="28" spans="1:55" ht="21.75" customHeight="1">
      <c r="A28" s="26" t="s">
        <v>661</v>
      </c>
      <c r="B28" s="348"/>
      <c r="C28" s="388"/>
      <c r="D28" s="389"/>
      <c r="E28" s="389"/>
      <c r="F28" s="389"/>
      <c r="G28" s="389"/>
      <c r="H28" s="389"/>
      <c r="I28" s="389">
        <f>186.8+130</f>
        <v>316.8</v>
      </c>
      <c r="J28" s="388">
        <f t="shared" si="21"/>
        <v>316.8</v>
      </c>
      <c r="K28" s="93">
        <f>(3419/3419*(473500*0+11/11*(625500*0+379700*0+12/12*625500)-98/98*(17200*0+6/6*223800*0+11/11*245800*0+12/12*495500))+3429/3429*(330200*0+6/6*380200*0+(7/7*400200+8/8*10000)*0+217300*0+12/12*414735-98/98*(18000*0+6/6*192900*0+98/98*(403/403*448700+404/404*41800)*0)+12/12*197900)+3421/3421*(111000-98/98*(6/6*10000*0+12/12*111000)))*0+3112/3112*(399/399*(3429/3429*196835+4329/4329*3465)+405/405*20000+3419/3419*130000)</f>
        <v>350300</v>
      </c>
      <c r="L28" s="56"/>
      <c r="M28" s="377">
        <f>(3421/3421*101000+3419/3419*(249700*0+11/11*379700)+3429/3429*(187300*0+7/7*207300*0+11/11*217300)-K28)*0+3112/3112*3419/3419*130000+3429/3429*216835+4329/4329*3465-K28</f>
        <v>0</v>
      </c>
      <c r="O28" s="4"/>
      <c r="P28" s="388"/>
      <c r="Q28" s="389"/>
      <c r="R28" s="389"/>
      <c r="S28" s="389"/>
      <c r="T28" s="389"/>
      <c r="U28" s="389"/>
      <c r="V28" s="389"/>
      <c r="W28" s="388">
        <f t="shared" si="22"/>
        <v>0</v>
      </c>
      <c r="X28" s="93"/>
      <c r="Y28" s="56"/>
      <c r="AA28" s="240">
        <f t="shared" si="23"/>
        <v>-246700</v>
      </c>
      <c r="AB28" s="343">
        <f>3419/3419*(473500*0+11/11*(625500*0+379700)-98/98*(17200*0+6/6*223800*0+11/11*245800*0))+3429/3429*(330200*0+6/6*380200*0+(7/7*400200+8/8*10000)*0+217300-98/98*(18000*0+6/6*192900*0+98/98*(403/403*448700+404/404*41800)*0))+3421/3421*(111000-98/98*6/6*10000)*0</f>
        <v>597000</v>
      </c>
      <c r="AC28" s="85"/>
      <c r="AD28" s="201"/>
      <c r="AE28" s="201"/>
      <c r="AF28" s="233" t="s">
        <v>298</v>
      </c>
      <c r="AG28" s="253" t="s">
        <v>349</v>
      </c>
      <c r="AH28" s="253" t="s">
        <v>418</v>
      </c>
      <c r="AI28" s="297" t="s">
        <v>450</v>
      </c>
      <c r="AJ28" s="297"/>
      <c r="AK28" s="253"/>
      <c r="AL28" s="253" t="s">
        <v>621</v>
      </c>
      <c r="AM28" s="253" t="s">
        <v>687</v>
      </c>
      <c r="AN28" s="73">
        <f>AA28-5/5*(473500-17200+330200-18000+111000)*0-6/6*98/98*-341500*0-7/7*20000*0-8/8*10000*0-11/11*130000*0-12/12*(-249700-5000+4535+395800)</f>
        <v>-392335</v>
      </c>
      <c r="AO28" s="328">
        <f t="shared" si="24"/>
        <v>0</v>
      </c>
      <c r="AP28" s="93"/>
      <c r="AQ28" s="118"/>
      <c r="AR28" s="119">
        <f t="shared" si="25"/>
        <v>0</v>
      </c>
      <c r="AU28" s="141">
        <f t="shared" si="26"/>
        <v>350300</v>
      </c>
      <c r="AV28" s="142"/>
      <c r="AW28" s="143">
        <f t="shared" si="27"/>
        <v>350300</v>
      </c>
      <c r="AX28" s="120"/>
      <c r="AY28" s="51"/>
      <c r="AZ28" s="144">
        <f t="shared" si="28"/>
        <v>0</v>
      </c>
      <c r="BA28" s="142"/>
      <c r="BB28" s="145">
        <f t="shared" si="29"/>
        <v>0</v>
      </c>
      <c r="BC28" s="146">
        <f t="shared" si="30"/>
        <v>-350300</v>
      </c>
    </row>
    <row r="29" spans="1:55" ht="25.5">
      <c r="A29" s="26" t="s">
        <v>78</v>
      </c>
      <c r="B29" s="348"/>
      <c r="C29" s="388">
        <f>3723/3723*5000*0</f>
        <v>0</v>
      </c>
      <c r="D29" s="389"/>
      <c r="E29" s="389"/>
      <c r="F29" s="389"/>
      <c r="G29" s="389"/>
      <c r="H29" s="389">
        <f>192+184.6</f>
        <v>376.6</v>
      </c>
      <c r="I29" s="389">
        <v>15.6</v>
      </c>
      <c r="J29" s="388">
        <f t="shared" si="21"/>
        <v>392.20000000000005</v>
      </c>
      <c r="K29" s="93">
        <f>2/2*(219903*0+10/10*191916.89*0+12/12*411819.89+410/410*(9599+3/3*387))-6/6*98/98*35300+11/11*230614/230614*20328*0*98/98</f>
        <v>386505.89</v>
      </c>
      <c r="L29" s="62"/>
      <c r="M29" s="377">
        <f>(3412/3412*229889*0+11/11*(396847.89+9986)*0+12/12*449958.89-6/6*8233/8233*(604/604*5962+610/610*1863)-4/4*442133.89-K29*0-K95*0-(K98*0+35300*0))*0+3112/3112*442133.89-K29-98/98*(35300+20328)</f>
        <v>0</v>
      </c>
      <c r="O29" s="4"/>
      <c r="P29" s="388"/>
      <c r="Q29" s="389"/>
      <c r="R29" s="389"/>
      <c r="S29" s="389"/>
      <c r="T29" s="389"/>
      <c r="U29" s="389"/>
      <c r="V29" s="389"/>
      <c r="W29" s="388">
        <f t="shared" si="22"/>
        <v>0</v>
      </c>
      <c r="X29" s="93"/>
      <c r="Y29" s="62"/>
      <c r="AA29" s="240">
        <f t="shared" si="23"/>
        <v>-20328</v>
      </c>
      <c r="AB29" s="343">
        <f>2/2*(219903+10/10*191916.89+410/410*(9599+3/3*387))-6/6*98/98*35300+11/11*230614/230614*20328</f>
        <v>406833.89</v>
      </c>
      <c r="AC29" s="85" t="s">
        <v>212</v>
      </c>
      <c r="AD29" s="201" t="s">
        <v>199</v>
      </c>
      <c r="AE29" s="201"/>
      <c r="AF29" s="201"/>
      <c r="AG29" s="201"/>
      <c r="AH29" s="201"/>
      <c r="AI29" s="229"/>
      <c r="AJ29" s="229"/>
      <c r="AK29" s="255" t="s">
        <v>554</v>
      </c>
      <c r="AL29" s="255" t="s">
        <v>596</v>
      </c>
      <c r="AM29" s="255" t="s">
        <v>688</v>
      </c>
      <c r="AN29" s="73">
        <f>AA29-2/2*(219903+9599)*0-3/3*387*0-10/10*191916.89*0-11/11*20328*0-12/12*(219903-98/98*20328)</f>
        <v>-219903</v>
      </c>
      <c r="AO29" s="328">
        <f t="shared" si="24"/>
        <v>0</v>
      </c>
      <c r="AP29" s="93"/>
      <c r="AQ29" s="118"/>
      <c r="AR29" s="119">
        <f t="shared" si="25"/>
        <v>0</v>
      </c>
      <c r="AU29" s="141">
        <f t="shared" si="26"/>
        <v>386505.89</v>
      </c>
      <c r="AV29" s="142"/>
      <c r="AW29" s="143">
        <f t="shared" si="27"/>
        <v>386505.89</v>
      </c>
      <c r="AX29" s="120"/>
      <c r="AY29" s="51"/>
      <c r="AZ29" s="144">
        <f t="shared" si="28"/>
        <v>0</v>
      </c>
      <c r="BA29" s="142"/>
      <c r="BB29" s="145">
        <f t="shared" si="29"/>
        <v>0</v>
      </c>
      <c r="BC29" s="146">
        <f t="shared" si="30"/>
        <v>-386505.89</v>
      </c>
    </row>
    <row r="30" spans="1:55" ht="15">
      <c r="A30" s="26" t="s">
        <v>60</v>
      </c>
      <c r="B30" s="348"/>
      <c r="C30" s="388"/>
      <c r="D30" s="389"/>
      <c r="E30" s="389"/>
      <c r="F30" s="389"/>
      <c r="G30" s="389"/>
      <c r="H30" s="389">
        <f>(5.5+263.2)</f>
        <v>268.7</v>
      </c>
      <c r="I30" s="389">
        <f>47.6*0*604/604</f>
        <v>0</v>
      </c>
      <c r="J30" s="388">
        <f t="shared" si="21"/>
        <v>268.7</v>
      </c>
      <c r="K30" s="93">
        <f>(3421/3421*111000-98/98*(10000*0+12/12*111000))*0+8/8*98994*0+9/9*268796.63*0+12/12*4/4*379796.63*0+(268796.63*0+5566+263230.63)</f>
        <v>268796.63</v>
      </c>
      <c r="L30" s="56"/>
      <c r="M30" s="377">
        <f>((101000+268796.63-K30-101000)*0+(667866.06-6/6*(240488.53+47580.9))-4/4*379796.63*0-K30-98/98*(6/6*20000+7/7*8000+8/8*5000+12/12*10000+45/45*20000+46/46*8000+51/51*40000))*0+3112/3112*379796.63-K30-98/98*111000</f>
        <v>0</v>
      </c>
      <c r="O30" s="4"/>
      <c r="P30" s="388"/>
      <c r="Q30" s="389"/>
      <c r="R30" s="389"/>
      <c r="S30" s="389"/>
      <c r="T30" s="389"/>
      <c r="U30" s="389"/>
      <c r="V30" s="389"/>
      <c r="W30" s="388">
        <f t="shared" si="22"/>
        <v>0</v>
      </c>
      <c r="X30" s="93"/>
      <c r="Y30" s="56"/>
      <c r="AA30" s="240">
        <f t="shared" si="23"/>
        <v>-101000</v>
      </c>
      <c r="AB30" s="343">
        <f>3421/3421*111000-98/98*10000+8/8*98994*0+9/9*268796.63</f>
        <v>369796.63</v>
      </c>
      <c r="AC30" s="85"/>
      <c r="AD30" s="201"/>
      <c r="AE30" s="201"/>
      <c r="AF30" s="201"/>
      <c r="AG30" s="201"/>
      <c r="AH30" s="201"/>
      <c r="AI30" s="229" t="s">
        <v>447</v>
      </c>
      <c r="AJ30" s="229" t="s">
        <v>507</v>
      </c>
      <c r="AK30" s="255">
        <f>(14910*0+21120)/15</f>
        <v>1408</v>
      </c>
      <c r="AL30" s="255"/>
      <c r="AM30" s="255" t="s">
        <v>660</v>
      </c>
      <c r="AN30" s="73">
        <f>AA30-8/8*((18029+35030)+(397+20147+2178+15875+3950+3388))*0-9/9*(129385+40417.63)*0-12/12*98/98*-101000</f>
        <v>0</v>
      </c>
      <c r="AO30" s="328">
        <f t="shared" si="24"/>
        <v>0</v>
      </c>
      <c r="AP30" s="93"/>
      <c r="AQ30" s="118"/>
      <c r="AR30" s="119">
        <f t="shared" si="25"/>
        <v>0</v>
      </c>
      <c r="AU30" s="141">
        <f t="shared" si="26"/>
        <v>268796.63</v>
      </c>
      <c r="AV30" s="142"/>
      <c r="AW30" s="143">
        <f t="shared" si="27"/>
        <v>268796.63</v>
      </c>
      <c r="AX30" s="120"/>
      <c r="AY30" s="51"/>
      <c r="AZ30" s="144">
        <f t="shared" si="28"/>
        <v>0</v>
      </c>
      <c r="BA30" s="142"/>
      <c r="BB30" s="145">
        <f t="shared" si="29"/>
        <v>0</v>
      </c>
      <c r="BC30" s="146">
        <f t="shared" si="30"/>
        <v>-268796.63</v>
      </c>
    </row>
    <row r="31" spans="1:56" ht="15">
      <c r="A31" s="29" t="s">
        <v>37</v>
      </c>
      <c r="B31" s="353"/>
      <c r="C31" s="395">
        <f>SUM(C22:C30)</f>
        <v>17580</v>
      </c>
      <c r="D31" s="395">
        <f aca="true" t="shared" si="31" ref="D31:J31">SUM(D22:D30)</f>
        <v>0</v>
      </c>
      <c r="E31" s="395">
        <f>SUM(E22:E30)</f>
        <v>112</v>
      </c>
      <c r="F31" s="395">
        <f t="shared" si="31"/>
        <v>0</v>
      </c>
      <c r="G31" s="395">
        <f t="shared" si="31"/>
        <v>1200</v>
      </c>
      <c r="H31" s="395">
        <f t="shared" si="31"/>
        <v>2365.5</v>
      </c>
      <c r="I31" s="395">
        <f t="shared" si="31"/>
        <v>-6451.4</v>
      </c>
      <c r="J31" s="395">
        <f t="shared" si="31"/>
        <v>14806.1</v>
      </c>
      <c r="K31" s="442">
        <f>SUM(K22:K30)</f>
        <v>16113042.180000002</v>
      </c>
      <c r="L31" s="254">
        <f>K31/(J31*1000)</f>
        <v>1.0882705222847342</v>
      </c>
      <c r="M31" s="466">
        <f>3112/3112*K31+K92+98/98*(K94+K95+K96)+K102+K103+K104+K113+K115+K116+K122+K123+K135+K136+K137+K138+K139-38476989.44</f>
        <v>0</v>
      </c>
      <c r="O31" s="4"/>
      <c r="P31" s="395">
        <f>SUM(P22:P30)</f>
        <v>0</v>
      </c>
      <c r="Q31" s="395">
        <f aca="true" t="shared" si="32" ref="Q31:W31">SUM(Q22:Q30)</f>
        <v>0</v>
      </c>
      <c r="R31" s="395">
        <f>SUM(R22:R30)</f>
        <v>0</v>
      </c>
      <c r="S31" s="395">
        <f t="shared" si="32"/>
        <v>0</v>
      </c>
      <c r="T31" s="395">
        <f t="shared" si="32"/>
        <v>0</v>
      </c>
      <c r="U31" s="395">
        <f t="shared" si="32"/>
        <v>0</v>
      </c>
      <c r="V31" s="395">
        <f t="shared" si="32"/>
        <v>0</v>
      </c>
      <c r="W31" s="395">
        <f t="shared" si="32"/>
        <v>0</v>
      </c>
      <c r="X31" s="74">
        <f>SUM(X22:X30)</f>
        <v>0</v>
      </c>
      <c r="Y31" s="65"/>
      <c r="Z31" s="467">
        <f>(4/4*15061.5*0+8/8*18031.9*0+11/11*37654.6*0+12/12*47538.6-W31-108/108*W92-81/81*(W102+W103)-96/96*W104-98/98*(W94+W95+W96)*0-0-W135-W136-W137-W139-W116-W122-W123-W124-11/11*W138-12/12*84/84*W144)+(4/4*61575*0+8/8*2770146.32*0+11/11*26165104.72*0+12/12*42376979.48-X31-108/108*X92-81/81*(X102+X103)-96/96*X104-98/98*(X94+X95+X96)*0-0-X135-X136-X137-X139-X116-X122-X123-X124-11/11*X138-12/12*84/84*X144)</f>
        <v>4.704361344920471E-10</v>
      </c>
      <c r="AA31" s="320">
        <f>SUM(AA22:AA30)</f>
        <v>-363173.95999999973</v>
      </c>
      <c r="AB31" s="74">
        <f>SUM(AB22:AB30)</f>
        <v>16476216.140000002</v>
      </c>
      <c r="AC31" s="179"/>
      <c r="AD31" s="179"/>
      <c r="AE31" s="179"/>
      <c r="AF31" s="179"/>
      <c r="AG31" s="179"/>
      <c r="AH31" s="179"/>
      <c r="AI31" s="296"/>
      <c r="AJ31" s="296"/>
      <c r="AK31" s="457"/>
      <c r="AL31" s="457"/>
      <c r="AM31" s="457"/>
      <c r="AN31" s="281">
        <f>SUM(AN22:AN30)</f>
        <v>-1714984</v>
      </c>
      <c r="AO31" s="180">
        <f>SUM(AO22:AO30)</f>
        <v>0</v>
      </c>
      <c r="AP31" s="74">
        <f>SUM(AP22:AP30)</f>
        <v>0</v>
      </c>
      <c r="AQ31" s="180"/>
      <c r="AR31" s="180">
        <f>SUM(AR22:AR30)</f>
        <v>0</v>
      </c>
      <c r="AU31" s="172">
        <f aca="true" t="shared" si="33" ref="AU31:BC31">SUM(AU22:AU30)</f>
        <v>16113042.180000002</v>
      </c>
      <c r="AV31" s="173"/>
      <c r="AW31" s="174">
        <f t="shared" si="33"/>
        <v>16113865.180000002</v>
      </c>
      <c r="AX31" s="121"/>
      <c r="AY31" s="121"/>
      <c r="AZ31" s="175">
        <f t="shared" si="33"/>
        <v>0</v>
      </c>
      <c r="BA31" s="173"/>
      <c r="BB31" s="173">
        <f t="shared" si="33"/>
        <v>527159.72</v>
      </c>
      <c r="BC31" s="176">
        <f t="shared" si="33"/>
        <v>-15586705.460000003</v>
      </c>
      <c r="BD31" s="197">
        <f>AZ31-X31</f>
        <v>0</v>
      </c>
    </row>
    <row r="32" spans="1:55" ht="21.75" customHeight="1">
      <c r="A32" s="26" t="s">
        <v>16</v>
      </c>
      <c r="B32" s="348"/>
      <c r="C32" s="388">
        <f>1/1*(14+25+2)+2/2*(32+14)</f>
        <v>87</v>
      </c>
      <c r="D32" s="389"/>
      <c r="E32" s="389"/>
      <c r="F32" s="389"/>
      <c r="G32" s="389"/>
      <c r="H32" s="389"/>
      <c r="I32" s="389"/>
      <c r="J32" s="388">
        <f aca="true" t="shared" si="34" ref="J32:J41">SUM(C32:I32)</f>
        <v>87</v>
      </c>
      <c r="K32" s="93">
        <f>1/1*2/2*18106.71*0+3/3*19521.85*0+4/4*20842.9*0+5/5*22227.66*0+6/6*23352.82*0+7/7*24811.29*0+8/8*26107.94*0+9/9*27318.08*0+10/10*65937.86*0+11/11*67751.6*0+12/12*86739.63-81/81*(1002.27*0+7/7*2502.27*0+5000)-13305/13305*(8122.63+2112)+2/2*2/2*4876.09*0+3/3*8442.95*0+4/4*11522.87*0+5/5*14538.41*0+6/6*17407.93*0+7/7*16424.85*0+8/8*18581.44*0+9/9*20935.19*0+10/10*23207.02*0+11/11*25854.92*0+12/12*28463.52-81/81*12000-13305/13305*(9477.52+3344.65)-98/98*29000+504/504*(1/1*(1172.1*0+8/8*2321.1*0+11/11*4971.1*0+12/12*6218.1-13305/13305*2321.1)+2/2*(3270*0+3/3*4587*0+4/4*62155*0+5/5*66764*0+6/6*68081*0+7/7*74826*0+8/8*81431*0+9/9*82748*0+10/10*84065*0+11/11*103767*0+12/12*669193-13305/13305*12292))+510/510*8/8*(1/1*8153*0*98/98+2/2*4917)</f>
        <v>711861.35</v>
      </c>
      <c r="L32" s="62">
        <f>K32/(J32*1000)</f>
        <v>8.182314367816092</v>
      </c>
      <c r="M32" s="377">
        <f>(803684.25-81/81*17000-13305/13305*37669.9-98/98*37153-K32)*0+3112/3112*K32-1/1*(503/503*86739.63-5000-8122.63-29000-2112+504/504*(6218.1-2321.1)+510/510*8153*0*98/98)-2/2*(503/503*(28463.52-12000-9477.52-3344.65)+504/504*669193-12292+510/510*4917)</f>
        <v>0</v>
      </c>
      <c r="O32" s="4"/>
      <c r="P32" s="388"/>
      <c r="Q32" s="389"/>
      <c r="R32" s="389"/>
      <c r="S32" s="389"/>
      <c r="T32" s="389"/>
      <c r="U32" s="389"/>
      <c r="V32" s="389"/>
      <c r="W32" s="388">
        <f aca="true" t="shared" si="35" ref="W32:W41">SUM(P32:V32)</f>
        <v>0</v>
      </c>
      <c r="X32" s="93"/>
      <c r="Y32" s="62"/>
      <c r="AA32" s="240">
        <f aca="true" t="shared" si="36" ref="AA32:AA41">K32-AB32</f>
        <v>520546.69999999995</v>
      </c>
      <c r="AB32" s="93">
        <f>1/1*2/2*18106.71*0+3/3*(19521.85*0+4/4*20842.9*0+5/5*22227.66*0+6/6*23352.82*0+7/7*24811.29*0+8/8*26107.94*0+9/9*27318.08*0+10/10*65937.86*0+11/11*67751.6-81/81*(1002.27*0+7/7*2502.27))+2/2*2/2*4876.09*0+3/3*(8442.95*0+4/4*11522.87*0+5/5*14538.41*0+6/6*17407.93*0+7/7*16424.85*0+8/8*18581.44*0+9/9*20935.19*0+10/10*23207.02*0+11/11*25854.92-81/81*(2444.7*0+7/7*6444.7)-13305/13305*7000)+504/504*(1/1*1172.1*0+8/8*2321.1*0+11/11*4971.1+2/2*(3270*0+3/3*4587*0+4/4*62155*0+5/5*66764*0+6/6*68081*0+7/7*74826*0+8/8*81431*0+9/9*82748*0+10/10*84065*0+11/11*103767))+510/510*8/8*(1/1*8153*0*98/98+2/2*4917)</f>
        <v>191314.65000000002</v>
      </c>
      <c r="AC32" s="85" t="s">
        <v>136</v>
      </c>
      <c r="AD32" s="201" t="s">
        <v>204</v>
      </c>
      <c r="AE32" s="201" t="s">
        <v>256</v>
      </c>
      <c r="AF32" s="201" t="s">
        <v>300</v>
      </c>
      <c r="AG32" s="201" t="s">
        <v>352</v>
      </c>
      <c r="AH32" s="201" t="s">
        <v>407</v>
      </c>
      <c r="AI32" s="229" t="s">
        <v>453</v>
      </c>
      <c r="AJ32" s="229" t="s">
        <v>524</v>
      </c>
      <c r="AK32" s="255" t="s">
        <v>563</v>
      </c>
      <c r="AL32" s="255" t="s">
        <v>603</v>
      </c>
      <c r="AM32" s="255"/>
      <c r="AN32" s="73">
        <f>AA32-1.2/1.2*((7538+5868)+1/1*(1430.71+1172.1)+2/2*(8146.09+3270))*0-3/3*((-1002.27-2444.7)+1/1*(384+1031.14)+2/2*(1270+2296.86+504/504*1317))*0-4/4*(1321.05+3079+6121/6121*56628+(940.92))*0-5/5*(1/1*1384.76+2/2*(3015.54+4609))*0-6/6*(1125.16+2869.52+1317)*0-7/7*(81/81*-5500+1458.47-983.08+6745)*0-8/8*(1290.65+2162.59+(1317+5288+1/1*1149)+510/510*4917)*0-9/9*(1/1*(1018.14+192)+2/2*(1676.75+42+635+1317)-7000)*0-10/10*((192+635)+((989.78+42)+1594.83)+26313+1317+(11167*0+11125))*0-11/11*(1/1*(1813.74+2650)+2/2*(2647.9+19702))*0</f>
        <v>520546.69999999995</v>
      </c>
      <c r="AO32" s="328">
        <f aca="true" t="shared" si="37" ref="AO32:AO41">X32-AP32</f>
        <v>0</v>
      </c>
      <c r="AP32" s="93"/>
      <c r="AQ32" s="118"/>
      <c r="AR32" s="119">
        <f aca="true" t="shared" si="38" ref="AR32:AR41">AO32-1.2/1.2*0</f>
        <v>0</v>
      </c>
      <c r="AU32" s="141">
        <f aca="true" t="shared" si="39" ref="AU32:AU41">K32</f>
        <v>711861.35</v>
      </c>
      <c r="AV32" s="142"/>
      <c r="AW32" s="143">
        <f aca="true" t="shared" si="40" ref="AW32:AW41">AU32+AV32</f>
        <v>711861.35</v>
      </c>
      <c r="AX32" s="120"/>
      <c r="AY32" s="51"/>
      <c r="AZ32" s="144">
        <f aca="true" t="shared" si="41" ref="AZ32:AZ41">X32</f>
        <v>0</v>
      </c>
      <c r="BA32" s="142"/>
      <c r="BB32" s="145">
        <f aca="true" t="shared" si="42" ref="BB32:BB41">AZ32+BA32</f>
        <v>0</v>
      </c>
      <c r="BC32" s="146">
        <f aca="true" t="shared" si="43" ref="BC32:BC41">BB32-AW32</f>
        <v>-711861.35</v>
      </c>
    </row>
    <row r="33" spans="1:55" ht="12.75" customHeight="1">
      <c r="A33" s="26" t="s">
        <v>17</v>
      </c>
      <c r="B33" s="348"/>
      <c r="C33" s="388">
        <f>((434-46)/9*12-517.33*0)*0+520*0+494</f>
        <v>494</v>
      </c>
      <c r="D33" s="389"/>
      <c r="E33" s="389"/>
      <c r="F33" s="389"/>
      <c r="G33" s="389"/>
      <c r="H33" s="389"/>
      <c r="I33" s="389"/>
      <c r="J33" s="388">
        <f t="shared" si="34"/>
        <v>494</v>
      </c>
      <c r="K33" s="93">
        <f>2/2*(72945*0+(1194+971)*15+(1567+1131)*15)*0+3/3*110550*0+4/4*153330*0+5/5*189075*0+6/6*229065*0+7/7*271350*0+8/8*303030*0+9/9*345885*0+10/10*381915*0+11/11*423225*0+12/12*463005</f>
        <v>463005</v>
      </c>
      <c r="L33" s="62">
        <f aca="true" t="shared" si="44" ref="L33:L42">K33/(J33*1000)</f>
        <v>0.937257085020243</v>
      </c>
      <c r="M33" s="377">
        <f>4/4*463005-K33</f>
        <v>0</v>
      </c>
      <c r="O33" s="4"/>
      <c r="P33" s="388"/>
      <c r="Q33" s="389"/>
      <c r="R33" s="389"/>
      <c r="S33" s="389"/>
      <c r="T33" s="389"/>
      <c r="U33" s="389"/>
      <c r="V33" s="389"/>
      <c r="W33" s="388">
        <f t="shared" si="35"/>
        <v>0</v>
      </c>
      <c r="X33" s="93"/>
      <c r="Y33" s="62"/>
      <c r="AA33" s="240">
        <f t="shared" si="36"/>
        <v>39780</v>
      </c>
      <c r="AB33" s="93">
        <f>2/2*(72945*0+(1194+971)*15+(1567+1131)*15)*0+3/3*110550*0+4/4*153330*0+5/5*189075*0+6/6*229065*0+7/7*271350*0+8/8*303030*0+9/9*345885*0+10/10*381915*0+11/11*423225</f>
        <v>423225</v>
      </c>
      <c r="AC33" s="85" t="s">
        <v>134</v>
      </c>
      <c r="AD33" s="201" t="s">
        <v>200</v>
      </c>
      <c r="AE33" s="201" t="s">
        <v>254</v>
      </c>
      <c r="AF33" s="201" t="s">
        <v>299</v>
      </c>
      <c r="AG33" s="201" t="s">
        <v>350</v>
      </c>
      <c r="AH33" s="201" t="s">
        <v>405</v>
      </c>
      <c r="AI33" s="229" t="s">
        <v>451</v>
      </c>
      <c r="AJ33" s="229" t="s">
        <v>522</v>
      </c>
      <c r="AK33" s="255" t="s">
        <v>561</v>
      </c>
      <c r="AL33" s="255" t="s">
        <v>602</v>
      </c>
      <c r="AM33" s="255"/>
      <c r="AN33" s="73">
        <f>AA33-1.2/1.2*((1194+971)*15+(1567+1131)*15)*0-3/3*(1126+1381)*15*0-4/4*(1239+1613)*0-5/5*(1333+1050)*0-6/6*(1522+1144)*0-7/7*(1559+1260)*0-8/8*(1147+965)*15*0-9/9*(1596+1261)*15*0-10/10*15*(1408+994)*0-11/11*15*(1157+1597)*0</f>
        <v>39780</v>
      </c>
      <c r="AO33" s="328">
        <f t="shared" si="37"/>
        <v>0</v>
      </c>
      <c r="AP33" s="93"/>
      <c r="AQ33" s="118"/>
      <c r="AR33" s="119">
        <f t="shared" si="38"/>
        <v>0</v>
      </c>
      <c r="AU33" s="141">
        <f t="shared" si="39"/>
        <v>463005</v>
      </c>
      <c r="AV33" s="142"/>
      <c r="AW33" s="143">
        <f t="shared" si="40"/>
        <v>463005</v>
      </c>
      <c r="AX33" s="120"/>
      <c r="AY33" s="51"/>
      <c r="AZ33" s="144">
        <f t="shared" si="41"/>
        <v>0</v>
      </c>
      <c r="BA33" s="142"/>
      <c r="BB33" s="145">
        <f t="shared" si="42"/>
        <v>0</v>
      </c>
      <c r="BC33" s="146">
        <f t="shared" si="43"/>
        <v>-463005</v>
      </c>
    </row>
    <row r="34" spans="1:55" ht="24.75" customHeight="1">
      <c r="A34" s="26" t="s">
        <v>18</v>
      </c>
      <c r="B34" s="348"/>
      <c r="C34" s="388">
        <f>4622-1/1*41-2/2*46-3/3*494</f>
        <v>4041</v>
      </c>
      <c r="D34" s="389"/>
      <c r="E34" s="389">
        <v>750</v>
      </c>
      <c r="F34" s="389"/>
      <c r="G34" s="389"/>
      <c r="H34" s="389"/>
      <c r="I34" s="389">
        <v>-158.2</v>
      </c>
      <c r="J34" s="388">
        <f t="shared" si="34"/>
        <v>4632.8</v>
      </c>
      <c r="K34" s="93">
        <f>2/2*324621.47*0+3/3*634598.02*0+4/4*1001285.01*0+5/5*1315107.74*0+6/6*1626566.09*0+7/7*2101051.11*0+8/8*2421239*0+9/9*2795303.18*0+10/10*3197750.39*0+11/11*3600837.87*0+12/12*4520845.84-81/81*707000-13305/13305*12/12*964689.1+43512/43512*(2637*0+3/3*6389*0+4/4*43*0+5/5*3795*0+6/6*7547*0+7/7*11335*0+8/8*3831*0+9/9*7583*0+10/10*115*0+11/11*3867*0+12/12*115)+(504/504)*(36020.87*0+3/3*42147.87*0+9/9*229021.87*0+10/10*799671.18*0+12/12*812899.18-81/81*30000-13305/13305*110641)+3108/3108*-7000*0*3009/3009</f>
        <v>3521529.92</v>
      </c>
      <c r="L34" s="62">
        <f t="shared" si="44"/>
        <v>0.7601299257468486</v>
      </c>
      <c r="M34" s="377">
        <f>(5333745.02+43512/43512*115-81/81*737000-13305/13305*1075330.1-K34)*0+3112/3112*K34+(K93+K130)*0+-(503/503*4520845.84-487000-638000-122000-157600-45000-56700-2700-8418.4-25000-30000*2-3000-8088-10000*2-8182.7-10000-20000+43512/43512*115+504/504*812899.18-5000-4438-15000-63000-10000-40000-3203)</f>
        <v>0</v>
      </c>
      <c r="O34" s="4"/>
      <c r="P34" s="388">
        <v>540</v>
      </c>
      <c r="Q34" s="389"/>
      <c r="R34" s="389"/>
      <c r="S34" s="389"/>
      <c r="T34" s="389"/>
      <c r="U34" s="389"/>
      <c r="V34" s="389"/>
      <c r="W34" s="388">
        <f t="shared" si="35"/>
        <v>540</v>
      </c>
      <c r="X34" s="93">
        <f>2/2*83475*0+3/3*125528*0+4/4*174671*0+5/5*216837*0+6/6*263217*0+7/7*311014*0+8/8*347915*0+9/9*396362*0+10/10*438041*0+11/11*485951*0+12/12*534001</f>
        <v>534001</v>
      </c>
      <c r="Y34" s="62">
        <f aca="true" t="shared" si="45" ref="Y34:Y42">X34/(W34*1000)</f>
        <v>0.9888907407407408</v>
      </c>
      <c r="AA34" s="240">
        <f t="shared" si="36"/>
        <v>444296.13999999966</v>
      </c>
      <c r="AB34" s="93">
        <f>2/2*324621.47*0+3/3*634598.02*0+4/4*1001285.01*0+5/5*1315107.74*0+6/6*1626566.09*0+7/7*2101051.11*0+8/8*2421239*0+9/9*2795303.18*0+10/10*3197750.39*0+11/11*3600837.87-81/81*(AB93-1/1*(1002.27*0+7/7*2502.27)-2/2*(2444.7*0+7/7*6444.7))-13305/13305*(AB130-1/1*0-2/2*7000)+43512/43512*(2637*0+3/3*6389*0+4/4*43*0+5/5*3795*0+6/6*7547*0+7/7*11335*0+8/8*3831*0+9/9*7583*0+10/10*115*0+11/11*3867)+(504/504)*(36020.87*0+3/3*42147.87*0+9/9*229021.87*0+10/10*799671.18)+3108/3108*-7000*0*3009/3009</f>
        <v>3077233.7800000003</v>
      </c>
      <c r="AC34" s="85" t="s">
        <v>135</v>
      </c>
      <c r="AD34" s="201" t="s">
        <v>207</v>
      </c>
      <c r="AE34" s="201" t="s">
        <v>284</v>
      </c>
      <c r="AF34" s="201" t="s">
        <v>323</v>
      </c>
      <c r="AG34" s="201" t="s">
        <v>351</v>
      </c>
      <c r="AH34" s="201" t="s">
        <v>406</v>
      </c>
      <c r="AI34" s="229" t="s">
        <v>452</v>
      </c>
      <c r="AJ34" s="229" t="s">
        <v>523</v>
      </c>
      <c r="AK34" s="255" t="s">
        <v>562</v>
      </c>
      <c r="AL34" s="255" t="s">
        <v>605</v>
      </c>
      <c r="AM34" s="255"/>
      <c r="AN34" s="73">
        <f>AA34-1.2/1.2*(324621.47+36020.87+2637)*0-3/3*(313423.52-81/81*-(39748+9937+3578+4694.87+600+1/1*1002.27+2/2*2444.7)-13305/13305*-(107421+26855+9668)-3752-3/3*504/504*6127)*0-4/4*((366686.99-7700-504-1925)+3783-(96523+25503))*0-5/5*((313822.73+3752)+72204*81/81*13305/13305)*0-6/6*(154241.35+3752)*0-7/7*(378233.02+3788)*0-8/8*((171421.49+(3788-11292))*0-9/9*194826)-9/9*(374064.18+3752+(9438+119229+55004)+2378+520+258+1162+7209.68+3203+7898+50+360.5+(599+300)-13735.18)*0-3110/3110*194826-10/10*(199708.21-9021/9021*7468+6123/6123*570649.31)*0-11/11*276229.48*0</f>
        <v>444296.13999999966</v>
      </c>
      <c r="AO34" s="328">
        <f t="shared" si="37"/>
        <v>48050</v>
      </c>
      <c r="AP34" s="343">
        <f>2/2*83475*0+3/3*125528*0+4/4*174671*0+5/5*216837*0+6/6*263217*0+7/7*311014*0+8/8*347915*0+9/9*396362*0+10/10*438041*0+11/11*485951</f>
        <v>485951</v>
      </c>
      <c r="AQ34" s="118" t="s">
        <v>634</v>
      </c>
      <c r="AR34" s="119">
        <f>AO34-1.2/1.2*83475*0-3/3*42053*0-4/4*49143*0-5/5*42166*0-6/6*46380*0-7/7*47797*0-8/8*36901*0-9/9*48447*0-10/10*41679*0-11/11*47910*0-12/12*48050</f>
        <v>0</v>
      </c>
      <c r="AU34" s="141">
        <f t="shared" si="39"/>
        <v>3521529.92</v>
      </c>
      <c r="AV34" s="468">
        <f>4/4*11256*0+7/7*22512*0+10/10*33768*0+12/12*38395*0+2017/2017*1.2/1.2*0+4/4*10129*0+8/8*21385*0+10/10*32641*0+12/12*43897</f>
        <v>43897</v>
      </c>
      <c r="AW34" s="143">
        <f t="shared" si="40"/>
        <v>3565426.92</v>
      </c>
      <c r="AX34" s="189" t="s">
        <v>178</v>
      </c>
      <c r="AY34" s="51"/>
      <c r="AZ34" s="144">
        <f t="shared" si="41"/>
        <v>534001</v>
      </c>
      <c r="BA34" s="463">
        <f>1.2/1.2*(3532.86+1512.32)*0+3/3*4512.14*0+4/4*5900.49*0+5/5*7375.61*0+6/6*8640*0+7/7*9544.91*0+10524.19*0+9/9*11602.7*0+10/10*12643.96*0+11/11*13710.02*0+12/12*14577.74*0+2017/2017*1.2/1.2*2417.22*0+3/3*3817.97*0+4/4*4896.42*0+5/5*6148.42*0+6/6*7437.6*0+7/7*8218.55*0+8/8*9235.02*0+9/9*10263.89*0+10/10*11553.07*0+12755.48*0+12/12*13660.39+2082.54*0+4/4*2900.68*0+5/5*3751.87*0+6/6*4586.53*0+7/7*5007.99*0+8/8*5388.13*0+9/9*6264.16*0+10/10*6917.02*0+11/11*(7222.79+3/3*8363.72)*0+2017/2017*1.2/1.2*1148.7*0+3/3*2132.12*0+4/4*2793.24*0+4082.42*0+6/6*4710.48*0+7/7*5247.64*0+8/8*5983.14*0+9/9*6669.05*0+10/10*7255.79*0+11/11*(7735.1*0+12/12*8338.37+3/3*8759.84)</f>
        <v>30758.6</v>
      </c>
      <c r="BB34" s="145">
        <f t="shared" si="42"/>
        <v>564759.6</v>
      </c>
      <c r="BC34" s="146">
        <f t="shared" si="43"/>
        <v>-3000667.32</v>
      </c>
    </row>
    <row r="35" spans="1:55" ht="12.75" hidden="1">
      <c r="A35" s="26" t="s">
        <v>32</v>
      </c>
      <c r="B35" s="348"/>
      <c r="C35" s="388"/>
      <c r="D35" s="389"/>
      <c r="E35" s="389"/>
      <c r="F35" s="389"/>
      <c r="G35" s="389"/>
      <c r="H35" s="389"/>
      <c r="I35" s="389"/>
      <c r="J35" s="388">
        <f t="shared" si="34"/>
        <v>0</v>
      </c>
      <c r="K35" s="93"/>
      <c r="L35" s="62" t="e">
        <f t="shared" si="44"/>
        <v>#DIV/0!</v>
      </c>
      <c r="O35" s="4"/>
      <c r="P35" s="388"/>
      <c r="Q35" s="389"/>
      <c r="R35" s="389"/>
      <c r="S35" s="389"/>
      <c r="T35" s="389"/>
      <c r="U35" s="389"/>
      <c r="V35" s="389"/>
      <c r="W35" s="388">
        <f t="shared" si="35"/>
        <v>0</v>
      </c>
      <c r="X35" s="93"/>
      <c r="Y35" s="62" t="e">
        <f t="shared" si="45"/>
        <v>#DIV/0!</v>
      </c>
      <c r="AA35" s="240">
        <f t="shared" si="36"/>
        <v>0</v>
      </c>
      <c r="AB35" s="93"/>
      <c r="AC35" s="85"/>
      <c r="AD35" s="201"/>
      <c r="AE35" s="201"/>
      <c r="AF35" s="201"/>
      <c r="AG35" s="201"/>
      <c r="AH35" s="201"/>
      <c r="AI35" s="229"/>
      <c r="AJ35" s="229"/>
      <c r="AK35" s="255"/>
      <c r="AL35" s="255"/>
      <c r="AM35" s="255"/>
      <c r="AN35" s="73">
        <f aca="true" t="shared" si="46" ref="AN35:AN40">AA35-0</f>
        <v>0</v>
      </c>
      <c r="AO35" s="328">
        <f t="shared" si="37"/>
        <v>0</v>
      </c>
      <c r="AP35" s="93"/>
      <c r="AQ35" s="118"/>
      <c r="AR35" s="119">
        <f t="shared" si="38"/>
        <v>0</v>
      </c>
      <c r="AU35" s="141">
        <f t="shared" si="39"/>
        <v>0</v>
      </c>
      <c r="AV35" s="142"/>
      <c r="AW35" s="143">
        <f t="shared" si="40"/>
        <v>0</v>
      </c>
      <c r="AX35" s="120"/>
      <c r="AY35" s="51"/>
      <c r="AZ35" s="144">
        <f t="shared" si="41"/>
        <v>0</v>
      </c>
      <c r="BA35" s="142"/>
      <c r="BB35" s="145">
        <f t="shared" si="42"/>
        <v>0</v>
      </c>
      <c r="BC35" s="146">
        <f t="shared" si="43"/>
        <v>0</v>
      </c>
    </row>
    <row r="36" spans="1:55" ht="12.75" hidden="1">
      <c r="A36" s="26" t="s">
        <v>45</v>
      </c>
      <c r="B36" s="348"/>
      <c r="C36" s="388"/>
      <c r="D36" s="389"/>
      <c r="E36" s="389"/>
      <c r="F36" s="389"/>
      <c r="G36" s="389"/>
      <c r="H36" s="389"/>
      <c r="I36" s="389"/>
      <c r="J36" s="388">
        <f t="shared" si="34"/>
        <v>0</v>
      </c>
      <c r="K36" s="93"/>
      <c r="L36" s="62" t="e">
        <f t="shared" si="44"/>
        <v>#DIV/0!</v>
      </c>
      <c r="O36" s="4"/>
      <c r="P36" s="388"/>
      <c r="Q36" s="389"/>
      <c r="R36" s="389"/>
      <c r="S36" s="389"/>
      <c r="T36" s="389"/>
      <c r="U36" s="389"/>
      <c r="V36" s="389"/>
      <c r="W36" s="388">
        <f t="shared" si="35"/>
        <v>0</v>
      </c>
      <c r="X36" s="93"/>
      <c r="Y36" s="62" t="e">
        <f t="shared" si="45"/>
        <v>#DIV/0!</v>
      </c>
      <c r="AA36" s="240">
        <f t="shared" si="36"/>
        <v>0</v>
      </c>
      <c r="AB36" s="93"/>
      <c r="AC36" s="85"/>
      <c r="AD36" s="201"/>
      <c r="AE36" s="201"/>
      <c r="AF36" s="201"/>
      <c r="AG36" s="201"/>
      <c r="AH36" s="201"/>
      <c r="AI36" s="229"/>
      <c r="AJ36" s="229"/>
      <c r="AK36" s="255"/>
      <c r="AL36" s="255"/>
      <c r="AM36" s="255"/>
      <c r="AN36" s="73">
        <f t="shared" si="46"/>
        <v>0</v>
      </c>
      <c r="AO36" s="328">
        <f t="shared" si="37"/>
        <v>0</v>
      </c>
      <c r="AP36" s="93"/>
      <c r="AQ36" s="118"/>
      <c r="AR36" s="119">
        <f t="shared" si="38"/>
        <v>0</v>
      </c>
      <c r="AU36" s="141">
        <f t="shared" si="39"/>
        <v>0</v>
      </c>
      <c r="AV36" s="142"/>
      <c r="AW36" s="143">
        <f t="shared" si="40"/>
        <v>0</v>
      </c>
      <c r="AX36" s="120"/>
      <c r="AY36" s="51"/>
      <c r="AZ36" s="144">
        <f t="shared" si="41"/>
        <v>0</v>
      </c>
      <c r="BA36" s="142"/>
      <c r="BB36" s="145">
        <f t="shared" si="42"/>
        <v>0</v>
      </c>
      <c r="BC36" s="146">
        <f t="shared" si="43"/>
        <v>0</v>
      </c>
    </row>
    <row r="37" spans="1:55" ht="12.75">
      <c r="A37" s="34" t="s">
        <v>327</v>
      </c>
      <c r="B37" s="351"/>
      <c r="C37" s="388">
        <v>0</v>
      </c>
      <c r="D37" s="389"/>
      <c r="E37" s="389"/>
      <c r="F37" s="389"/>
      <c r="G37" s="389"/>
      <c r="H37" s="389"/>
      <c r="I37" s="389"/>
      <c r="J37" s="388">
        <f t="shared" si="34"/>
        <v>0</v>
      </c>
      <c r="K37" s="93">
        <f>5/5*759*0*6/6</f>
        <v>0</v>
      </c>
      <c r="L37" s="62"/>
      <c r="M37" s="111">
        <f>4351/4351*6600549.27-K32-K33-K34-81/81*K93-13305/13305*K130-98/98*37153</f>
        <v>0</v>
      </c>
      <c r="O37" s="4"/>
      <c r="P37" s="388"/>
      <c r="Q37" s="389"/>
      <c r="R37" s="389"/>
      <c r="S37" s="389"/>
      <c r="T37" s="389"/>
      <c r="U37" s="389"/>
      <c r="V37" s="389"/>
      <c r="W37" s="388">
        <f t="shared" si="35"/>
        <v>0</v>
      </c>
      <c r="X37" s="93"/>
      <c r="Y37" s="62"/>
      <c r="AA37" s="240">
        <f t="shared" si="36"/>
        <v>0</v>
      </c>
      <c r="AB37" s="93">
        <f>5/5*759*0*6/6</f>
        <v>0</v>
      </c>
      <c r="AC37" s="85"/>
      <c r="AD37" s="201"/>
      <c r="AE37" s="201"/>
      <c r="AF37" s="201" t="s">
        <v>379</v>
      </c>
      <c r="AG37" s="201">
        <f>(22830*0+17160)/15</f>
        <v>1144</v>
      </c>
      <c r="AH37" s="270"/>
      <c r="AI37" s="298"/>
      <c r="AJ37" s="298"/>
      <c r="AK37" s="465">
        <f>-11256+3752+7468</f>
        <v>-36</v>
      </c>
      <c r="AL37" s="465"/>
      <c r="AM37" s="465"/>
      <c r="AN37" s="73">
        <f>AA37-5/5*759*0+6/6*759*0</f>
        <v>0</v>
      </c>
      <c r="AO37" s="328">
        <f t="shared" si="37"/>
        <v>0</v>
      </c>
      <c r="AP37" s="93"/>
      <c r="AQ37" s="118"/>
      <c r="AR37" s="119">
        <f t="shared" si="38"/>
        <v>0</v>
      </c>
      <c r="AU37" s="141">
        <f t="shared" si="39"/>
        <v>0</v>
      </c>
      <c r="AV37" s="142"/>
      <c r="AW37" s="143">
        <f t="shared" si="40"/>
        <v>0</v>
      </c>
      <c r="AX37" s="120"/>
      <c r="AY37" s="51"/>
      <c r="AZ37" s="144">
        <f t="shared" si="41"/>
        <v>0</v>
      </c>
      <c r="BA37" s="142"/>
      <c r="BB37" s="145">
        <f t="shared" si="42"/>
        <v>0</v>
      </c>
      <c r="BC37" s="146">
        <f t="shared" si="43"/>
        <v>0</v>
      </c>
    </row>
    <row r="38" spans="1:55" ht="12.75">
      <c r="A38" s="26" t="s">
        <v>19</v>
      </c>
      <c r="B38" s="348"/>
      <c r="C38" s="388">
        <f>5+60+12</f>
        <v>77</v>
      </c>
      <c r="D38" s="389"/>
      <c r="E38" s="389"/>
      <c r="F38" s="389"/>
      <c r="G38" s="389"/>
      <c r="H38" s="389"/>
      <c r="I38" s="389"/>
      <c r="J38" s="388">
        <f t="shared" si="34"/>
        <v>77</v>
      </c>
      <c r="K38" s="93">
        <f>3/3*29854*0+4/4*35029*0+5/5*36627*0+6/6*48613*0+7/7*51213*0+8/8*52128*0+9/9*58419*0+10/10*54753*0+11/11*56102*0+12/12*21411+708/708*((12540*0+6/6*23830*0+12/12*15080)-13011/13011*(K132*0+K133))-2/2*2/2*(854+12596)*0*3/3</f>
        <v>567</v>
      </c>
      <c r="L38" s="62">
        <f t="shared" si="44"/>
        <v>0.007363636363636364</v>
      </c>
      <c r="M38" s="377">
        <f>(36491-98/98*(505/505*((4730+16114)+708/708*15080))-K38)*0+3112/3112*K38-505/505*(21411-13011/13011*(4730+16114))</f>
        <v>0</v>
      </c>
      <c r="O38" s="4"/>
      <c r="P38" s="388"/>
      <c r="Q38" s="389"/>
      <c r="R38" s="389"/>
      <c r="S38" s="389"/>
      <c r="T38" s="389"/>
      <c r="U38" s="389"/>
      <c r="V38" s="389"/>
      <c r="W38" s="388">
        <f t="shared" si="35"/>
        <v>0</v>
      </c>
      <c r="X38" s="93"/>
      <c r="Y38" s="62"/>
      <c r="AA38" s="240">
        <f t="shared" si="36"/>
        <v>0</v>
      </c>
      <c r="AB38" s="93">
        <f>3/3*29854*0+4/4*35029*0+5/5*36627*0+6/6*48613*0+7/7*51213*0+8/8*52128*0+9/9*58419*0+10/10*54753*0+11/11*56102+708/708*((12540*0+6/6*23830)-13011/13011*(AB132*0+AB133))-2/2*2/2*(854+12596)*0*3/3</f>
        <v>567</v>
      </c>
      <c r="AC38" s="85"/>
      <c r="AD38" s="201"/>
      <c r="AE38" s="201">
        <f>4500+2400+300</f>
        <v>7200</v>
      </c>
      <c r="AF38" s="201">
        <f>(19995*0+15750)/15</f>
        <v>1050</v>
      </c>
      <c r="AG38" s="201"/>
      <c r="AH38" s="201"/>
      <c r="AI38" s="229" t="s">
        <v>457</v>
      </c>
      <c r="AJ38" s="229"/>
      <c r="AK38" s="255"/>
      <c r="AL38" s="255"/>
      <c r="AM38" s="255"/>
      <c r="AN38" s="73">
        <f>AA38-0-8/8*567*0</f>
        <v>0</v>
      </c>
      <c r="AO38" s="328">
        <f t="shared" si="37"/>
        <v>0</v>
      </c>
      <c r="AP38" s="93"/>
      <c r="AQ38" s="118"/>
      <c r="AR38" s="119">
        <f t="shared" si="38"/>
        <v>0</v>
      </c>
      <c r="AU38" s="141">
        <f t="shared" si="39"/>
        <v>567</v>
      </c>
      <c r="AV38" s="142"/>
      <c r="AW38" s="143">
        <f t="shared" si="40"/>
        <v>567</v>
      </c>
      <c r="AX38" s="120"/>
      <c r="AY38" s="51"/>
      <c r="AZ38" s="144">
        <f t="shared" si="41"/>
        <v>0</v>
      </c>
      <c r="BA38" s="142"/>
      <c r="BB38" s="145">
        <f t="shared" si="42"/>
        <v>0</v>
      </c>
      <c r="BC38" s="146">
        <f t="shared" si="43"/>
        <v>-567</v>
      </c>
    </row>
    <row r="39" spans="1:55" ht="12.75" hidden="1">
      <c r="A39" s="26" t="s">
        <v>79</v>
      </c>
      <c r="B39" s="348"/>
      <c r="C39" s="388"/>
      <c r="D39" s="389"/>
      <c r="E39" s="389"/>
      <c r="F39" s="389"/>
      <c r="G39" s="389"/>
      <c r="H39" s="389"/>
      <c r="I39" s="389"/>
      <c r="J39" s="388">
        <f t="shared" si="34"/>
        <v>0</v>
      </c>
      <c r="K39" s="93"/>
      <c r="L39" s="62" t="e">
        <f t="shared" si="44"/>
        <v>#DIV/0!</v>
      </c>
      <c r="O39" s="4"/>
      <c r="P39" s="388"/>
      <c r="Q39" s="389"/>
      <c r="R39" s="389"/>
      <c r="S39" s="389"/>
      <c r="T39" s="389"/>
      <c r="U39" s="389"/>
      <c r="V39" s="389"/>
      <c r="W39" s="388">
        <f t="shared" si="35"/>
        <v>0</v>
      </c>
      <c r="X39" s="93"/>
      <c r="Y39" s="62"/>
      <c r="AA39" s="240">
        <f t="shared" si="36"/>
        <v>0</v>
      </c>
      <c r="AB39" s="93"/>
      <c r="AC39" s="85"/>
      <c r="AD39" s="201"/>
      <c r="AE39" s="201"/>
      <c r="AF39" s="201"/>
      <c r="AG39" s="201"/>
      <c r="AH39" s="201"/>
      <c r="AI39" s="229"/>
      <c r="AJ39" s="229"/>
      <c r="AK39" s="255"/>
      <c r="AL39" s="255"/>
      <c r="AM39" s="255"/>
      <c r="AN39" s="73">
        <f t="shared" si="46"/>
        <v>0</v>
      </c>
      <c r="AO39" s="328">
        <f t="shared" si="37"/>
        <v>0</v>
      </c>
      <c r="AP39" s="93"/>
      <c r="AQ39" s="118"/>
      <c r="AR39" s="119">
        <f t="shared" si="38"/>
        <v>0</v>
      </c>
      <c r="AU39" s="141">
        <f t="shared" si="39"/>
        <v>0</v>
      </c>
      <c r="AV39" s="142"/>
      <c r="AW39" s="143">
        <f t="shared" si="40"/>
        <v>0</v>
      </c>
      <c r="AX39" s="120"/>
      <c r="AY39" s="51"/>
      <c r="AZ39" s="144">
        <f t="shared" si="41"/>
        <v>0</v>
      </c>
      <c r="BA39" s="142"/>
      <c r="BB39" s="145">
        <f t="shared" si="42"/>
        <v>0</v>
      </c>
      <c r="BC39" s="146">
        <f t="shared" si="43"/>
        <v>0</v>
      </c>
    </row>
    <row r="40" spans="1:55" ht="12.75" hidden="1">
      <c r="A40" s="26" t="s">
        <v>20</v>
      </c>
      <c r="B40" s="348"/>
      <c r="C40" s="388"/>
      <c r="D40" s="389"/>
      <c r="E40" s="389"/>
      <c r="F40" s="389"/>
      <c r="G40" s="389"/>
      <c r="H40" s="389"/>
      <c r="I40" s="389"/>
      <c r="J40" s="388">
        <f t="shared" si="34"/>
        <v>0</v>
      </c>
      <c r="K40" s="93"/>
      <c r="L40" s="62" t="e">
        <f t="shared" si="44"/>
        <v>#DIV/0!</v>
      </c>
      <c r="O40" s="4"/>
      <c r="P40" s="388"/>
      <c r="Q40" s="389"/>
      <c r="R40" s="389"/>
      <c r="S40" s="389"/>
      <c r="T40" s="389"/>
      <c r="U40" s="389"/>
      <c r="V40" s="389"/>
      <c r="W40" s="388">
        <f t="shared" si="35"/>
        <v>0</v>
      </c>
      <c r="X40" s="93"/>
      <c r="Y40" s="62"/>
      <c r="AA40" s="240">
        <f t="shared" si="36"/>
        <v>0</v>
      </c>
      <c r="AB40" s="93"/>
      <c r="AC40" s="85"/>
      <c r="AD40" s="201"/>
      <c r="AE40" s="201"/>
      <c r="AF40" s="201"/>
      <c r="AG40" s="201"/>
      <c r="AH40" s="201"/>
      <c r="AI40" s="229"/>
      <c r="AJ40" s="229"/>
      <c r="AK40" s="255"/>
      <c r="AL40" s="255"/>
      <c r="AM40" s="255"/>
      <c r="AN40" s="73">
        <f t="shared" si="46"/>
        <v>0</v>
      </c>
      <c r="AO40" s="328">
        <f t="shared" si="37"/>
        <v>0</v>
      </c>
      <c r="AP40" s="93"/>
      <c r="AQ40" s="118"/>
      <c r="AR40" s="119">
        <f t="shared" si="38"/>
        <v>0</v>
      </c>
      <c r="AU40" s="141">
        <f t="shared" si="39"/>
        <v>0</v>
      </c>
      <c r="AV40" s="142"/>
      <c r="AW40" s="143">
        <f t="shared" si="40"/>
        <v>0</v>
      </c>
      <c r="AX40" s="120"/>
      <c r="AY40" s="51"/>
      <c r="AZ40" s="144">
        <f t="shared" si="41"/>
        <v>0</v>
      </c>
      <c r="BA40" s="142"/>
      <c r="BB40" s="145">
        <f t="shared" si="42"/>
        <v>0</v>
      </c>
      <c r="BC40" s="146">
        <f t="shared" si="43"/>
        <v>0</v>
      </c>
    </row>
    <row r="41" spans="1:55" ht="12.75" customHeight="1">
      <c r="A41" s="26" t="s">
        <v>21</v>
      </c>
      <c r="B41" s="348"/>
      <c r="C41" s="388">
        <f>120+70</f>
        <v>190</v>
      </c>
      <c r="D41" s="389"/>
      <c r="E41" s="389"/>
      <c r="F41" s="389"/>
      <c r="G41" s="389"/>
      <c r="H41" s="389">
        <v>-60</v>
      </c>
      <c r="I41" s="389"/>
      <c r="J41" s="388">
        <f t="shared" si="34"/>
        <v>130</v>
      </c>
      <c r="K41" s="93">
        <f>(503/503)*12/12*3319/3319*(84090-98/98*78000)+K97*0+4351/4351*(33000*0+4/4*1500*0+5/5*34500*0+6/6*2750*0+9/9*4250)+4/4*504/504*16940*6/6*0*98/98+505/505*(102545-98/98*(17314+1858)+3319/3319*13020*0*98)+11/11*4349/4349*14680</f>
        <v>108393</v>
      </c>
      <c r="L41" s="62">
        <f t="shared" si="44"/>
        <v>0.8337923076923077</v>
      </c>
      <c r="M41" s="377">
        <f>(220845+4349/4349*14680-98/98*127132-K41)*0+3112/3112*K41-503/503*(84090-98/98*78000+4349/4349*14680)-504/504*(16940*0*98/98)-505/505*(102545-98/98*(17314+1858)+3319/3319*13020*0*98/98+4351/4351*4250)</f>
        <v>0</v>
      </c>
      <c r="O41" s="4"/>
      <c r="P41" s="388"/>
      <c r="Q41" s="389"/>
      <c r="R41" s="389"/>
      <c r="S41" s="389"/>
      <c r="T41" s="389"/>
      <c r="U41" s="389"/>
      <c r="V41" s="389"/>
      <c r="W41" s="388">
        <f t="shared" si="35"/>
        <v>0</v>
      </c>
      <c r="X41" s="93"/>
      <c r="Y41" s="62"/>
      <c r="AA41" s="240">
        <f t="shared" si="36"/>
        <v>7972</v>
      </c>
      <c r="AB41" s="93">
        <f>(505/505)*1.2/1.2*7318*0+3/3*21895*0+4/4*22694*0+5/5*40886*0+6/6*(29850*0*98/98+4379/4379*(3319/3319*(13020*0+8/8*15600)+7/7*41173*0+8/8*47082*0+9/9*50042*0+10/10*(74073-98/98*(10040+1858))*0+11/11*((63410*0+74073+1858)-98/98*(47810*0+10040))))+(503/503)*6/6*(37423*0+7/7*3319/3319*45450*0-98/98*((10040+1858+13020)*0+29850+AB97*0-4351/4351*510/510*8153)*0)+4351/4351*((33000*0+4/4*1500*0+5/5*34500*0+6/6*2750*0+9/9*4250)+4/4*504/504*16940*6/6*0*98/98)+11/11*4349/4349*14680</f>
        <v>100421</v>
      </c>
      <c r="AC41" s="85"/>
      <c r="AD41" s="201" t="s">
        <v>226</v>
      </c>
      <c r="AE41" s="201" t="s">
        <v>255</v>
      </c>
      <c r="AF41" s="201" t="s">
        <v>301</v>
      </c>
      <c r="AG41" s="201" t="s">
        <v>380</v>
      </c>
      <c r="AH41" s="201" t="s">
        <v>410</v>
      </c>
      <c r="AI41" s="229" t="s">
        <v>483</v>
      </c>
      <c r="AJ41" s="229" t="s">
        <v>521</v>
      </c>
      <c r="AK41" s="255" t="s">
        <v>560</v>
      </c>
      <c r="AL41" s="255" t="s">
        <v>689</v>
      </c>
      <c r="AM41" s="255"/>
      <c r="AN41" s="73">
        <f>AA41-0-3/3*((3400+940)+6250+765+4351/4351*33000)*0-4/4*(16940+799-31500)*0-5/5*(3750+782+640+13020+33000)*0-6/6*(((16800+13050+6000-31750+2639)-98/98*(29850+16940+10040+1858)+((11063-25915)*0-14852+19690+13020*0))+3920+13020)*0-7/7*(15600+3750)*0-8/8*(2159+3750)*0-9/9*(33000-31500+2960)*0-10/10*(4000+774+17950+1307)*0-11/11*4349/4349*14680*0</f>
        <v>7972</v>
      </c>
      <c r="AO41" s="328">
        <f t="shared" si="37"/>
        <v>0</v>
      </c>
      <c r="AP41" s="93"/>
      <c r="AQ41" s="118"/>
      <c r="AR41" s="119">
        <f t="shared" si="38"/>
        <v>0</v>
      </c>
      <c r="AU41" s="141">
        <f t="shared" si="39"/>
        <v>108393</v>
      </c>
      <c r="AV41" s="142"/>
      <c r="AW41" s="143">
        <f t="shared" si="40"/>
        <v>108393</v>
      </c>
      <c r="AX41" s="120"/>
      <c r="AY41" s="51"/>
      <c r="AZ41" s="144">
        <f t="shared" si="41"/>
        <v>0</v>
      </c>
      <c r="BA41" s="142"/>
      <c r="BB41" s="145">
        <f t="shared" si="42"/>
        <v>0</v>
      </c>
      <c r="BC41" s="146">
        <f t="shared" si="43"/>
        <v>-108393</v>
      </c>
    </row>
    <row r="42" spans="1:56" ht="15">
      <c r="A42" s="30" t="s">
        <v>38</v>
      </c>
      <c r="B42" s="354"/>
      <c r="C42" s="396">
        <f>SUM(C32:C41)</f>
        <v>4889</v>
      </c>
      <c r="D42" s="396">
        <f aca="true" t="shared" si="47" ref="D42:J42">SUM(D32:D41)</f>
        <v>0</v>
      </c>
      <c r="E42" s="396">
        <f>SUM(E32:E41)</f>
        <v>750</v>
      </c>
      <c r="F42" s="396">
        <f t="shared" si="47"/>
        <v>0</v>
      </c>
      <c r="G42" s="396">
        <f t="shared" si="47"/>
        <v>0</v>
      </c>
      <c r="H42" s="396">
        <f t="shared" si="47"/>
        <v>-60</v>
      </c>
      <c r="I42" s="396">
        <f t="shared" si="47"/>
        <v>-158.2</v>
      </c>
      <c r="J42" s="396">
        <f t="shared" si="47"/>
        <v>5420.8</v>
      </c>
      <c r="K42" s="75">
        <f>SUM(K32:K41)</f>
        <v>4805356.27</v>
      </c>
      <c r="L42" s="271">
        <f t="shared" si="44"/>
        <v>0.8864662540584415</v>
      </c>
      <c r="M42" s="469">
        <f>3112/3112*K42+K93+98/98*K97+K127+K130+K133-7923172.51</f>
        <v>5074.299999999814</v>
      </c>
      <c r="O42" s="4"/>
      <c r="P42" s="396">
        <f>SUM(P32:P41)</f>
        <v>540</v>
      </c>
      <c r="Q42" s="396">
        <f aca="true" t="shared" si="48" ref="Q42:W42">SUM(Q32:Q41)</f>
        <v>0</v>
      </c>
      <c r="R42" s="396">
        <f>SUM(R32:R41)</f>
        <v>0</v>
      </c>
      <c r="S42" s="396">
        <f t="shared" si="48"/>
        <v>0</v>
      </c>
      <c r="T42" s="396">
        <f t="shared" si="48"/>
        <v>0</v>
      </c>
      <c r="U42" s="396">
        <f t="shared" si="48"/>
        <v>0</v>
      </c>
      <c r="V42" s="396">
        <f t="shared" si="48"/>
        <v>0</v>
      </c>
      <c r="W42" s="396">
        <f t="shared" si="48"/>
        <v>540</v>
      </c>
      <c r="X42" s="272">
        <f>SUM(X32:X41)</f>
        <v>534001</v>
      </c>
      <c r="Y42" s="271">
        <f t="shared" si="45"/>
        <v>0.9888907407407408</v>
      </c>
      <c r="Z42" s="470">
        <f>(4/4*2983*0+7/7*3127*0+8/8*3167*0+11/11*3503-W42-W93-98/98*W97*0-W127-W130)+(4/4*1504671*0+7/7*2898014*0+8/8*2974915*0+11/11*3448951*0+12/12*3497001-X42-X93-98/98*X97*0-X127-X130)</f>
        <v>4</v>
      </c>
      <c r="AA42" s="321">
        <f>SUM(AA32:AA41)</f>
        <v>1012594.8399999996</v>
      </c>
      <c r="AB42" s="75">
        <f>SUM(AB32:AB41)</f>
        <v>3792761.43</v>
      </c>
      <c r="AC42" s="179"/>
      <c r="AD42" s="179"/>
      <c r="AE42" s="179"/>
      <c r="AF42" s="179"/>
      <c r="AG42" s="179"/>
      <c r="AH42" s="179"/>
      <c r="AI42" s="296"/>
      <c r="AJ42" s="296"/>
      <c r="AK42" s="457"/>
      <c r="AL42" s="457"/>
      <c r="AM42" s="457"/>
      <c r="AN42" s="281">
        <f>SUM(AN32:AN41)</f>
        <v>1012594.8399999996</v>
      </c>
      <c r="AO42" s="180">
        <f>SUM(AO32:AO41)</f>
        <v>48050</v>
      </c>
      <c r="AP42" s="272">
        <f>SUM(AP32:AP41)</f>
        <v>485951</v>
      </c>
      <c r="AQ42" s="180"/>
      <c r="AR42" s="180">
        <f>SUM(AR32:AR41)</f>
        <v>0</v>
      </c>
      <c r="AU42" s="172">
        <f>SUM(AU32:AU41)</f>
        <v>4805356.27</v>
      </c>
      <c r="AV42" s="177"/>
      <c r="AW42" s="172">
        <f>SUM(AW32:AW41)</f>
        <v>4849253.27</v>
      </c>
      <c r="AX42" s="121"/>
      <c r="AY42" s="121"/>
      <c r="AZ42" s="258">
        <f>SUM(AZ32:AZ41)</f>
        <v>534001</v>
      </c>
      <c r="BA42" s="177"/>
      <c r="BB42" s="177">
        <f>SUM(BB32:BB41)</f>
        <v>564759.6</v>
      </c>
      <c r="BC42" s="178">
        <f>SUM(BC32:BC41)</f>
        <v>-4284493.67</v>
      </c>
      <c r="BD42" s="197">
        <f>AZ42-X42</f>
        <v>0</v>
      </c>
    </row>
    <row r="43" spans="1:55" ht="21.75" customHeight="1">
      <c r="A43" s="26" t="s">
        <v>47</v>
      </c>
      <c r="B43" s="348"/>
      <c r="C43" s="388">
        <v>747</v>
      </c>
      <c r="D43" s="389"/>
      <c r="E43" s="389"/>
      <c r="F43" s="389"/>
      <c r="G43" s="389"/>
      <c r="H43" s="389"/>
      <c r="I43" s="389">
        <v>5.6</v>
      </c>
      <c r="J43" s="388">
        <f aca="true" t="shared" si="49" ref="J43:J51">SUM(C43:I43)</f>
        <v>752.6</v>
      </c>
      <c r="K43" s="93">
        <f>1.2/1.2*(98887.66*0+3/3*189215.55*0+4/4*123522.37*0+5/5*220034.62*0+6/6*316516.1*0+7/7*(464155.68*0+8/8*353475.69*0+9/9*440550.16*0+10/10*392171.78*0+11/11*495923.61*0+12/12*(539882.75-98/98*(20500+2511))+106/106*1027)+604/604*(41181.26*0+3/3*84078.5*0+4/4*96714.08*0+5/5*110710.52*0+6/6*121698.95*0+7/7*125590.37*0+8/8*162806.79*0+9/9*169198.21*0+10/10*175545.06*0+11/11*205989.78*0+12/12*219321.36)+610/610*(1806+9/9*530))</f>
        <v>739556.11</v>
      </c>
      <c r="L43" s="62">
        <f>K43/(J43*1000)</f>
        <v>0.9826682301355302</v>
      </c>
      <c r="M43" s="197">
        <f>4351/4351*2911759.35+4339/4339*558633.06+4329/4329*75958+4379/4379*125242-K42-(K93+K97+K127+K130+K133)</f>
        <v>-4256654.399999999</v>
      </c>
      <c r="O43" s="4"/>
      <c r="P43" s="388"/>
      <c r="Q43" s="389"/>
      <c r="R43" s="389"/>
      <c r="S43" s="389"/>
      <c r="T43" s="389"/>
      <c r="U43" s="389"/>
      <c r="V43" s="389">
        <v>109.4</v>
      </c>
      <c r="W43" s="388">
        <f aca="true" t="shared" si="50" ref="W43:W49">SUM(P43:V43)</f>
        <v>109.4</v>
      </c>
      <c r="X43" s="93">
        <f>12/12*109384.9</f>
        <v>109384.9</v>
      </c>
      <c r="Y43" s="62">
        <f>X43/(W43*1000)</f>
        <v>0.99986197440585</v>
      </c>
      <c r="AA43" s="240">
        <f aca="true" t="shared" si="51" ref="AA43:AA51">K43-AB43</f>
        <v>34279.71999999997</v>
      </c>
      <c r="AB43" s="93">
        <f>1.2/1.2*(98887.66*0+3/3*189215.55*0+4/4*123522.37*0+5/5*220034.62*0+6/6*316516.1*0+7/7*(464155.68*0+8/8*353475.69*0+9/9*440550.16*0+10/10*392171.78*0+11/11*495923.61+106/106*1027)+604/604*(41181.26*0+3/3*84078.5*0+4/4*96714.08*0+5/5*110710.52*0+6/6*121698.95*0+7/7*125590.37*0+8/8*162806.79*0+9/9*169198.21*0+10/10*175545.06*0+11/11*205989.78)+610/610*(1806+9/9*530))</f>
        <v>705276.39</v>
      </c>
      <c r="AC43" s="85" t="s">
        <v>145</v>
      </c>
      <c r="AD43" s="201" t="s">
        <v>227</v>
      </c>
      <c r="AE43" s="201" t="s">
        <v>258</v>
      </c>
      <c r="AF43" s="201" t="s">
        <v>307</v>
      </c>
      <c r="AG43" s="201" t="s">
        <v>355</v>
      </c>
      <c r="AH43" s="201" t="s">
        <v>411</v>
      </c>
      <c r="AI43" s="229" t="s">
        <v>459</v>
      </c>
      <c r="AJ43" s="229" t="s">
        <v>525</v>
      </c>
      <c r="AK43" s="255" t="s">
        <v>690</v>
      </c>
      <c r="AL43" s="255" t="s">
        <v>608</v>
      </c>
      <c r="AM43" s="255" t="s">
        <v>664</v>
      </c>
      <c r="AN43" s="73">
        <f>AA43-1.2/1.2*(98887.66+41181.26+1806)*0-3/3*(90327.89+604/604*(584.79+567+16215.45+2500+16532+6498))*0-4/4*(-65693.18+12635.58)*0-5/5*(96512.25+(10690.72+1248.72+1490+567))*0-6/6*(96481.48+10988.43)*0-7/7*(147639.58+1027+3324.42+567)*0-8/8*((89363-201210)+38383.43)*0-9/9*(87074.47+4/4*6391.42+10/10*530)*0-10/10*(129978-182785+10775.47)*0-11/11*(103751.83+(7847+6050+1490+10690.72+3800+567))*0-12/12*(43959.14-20500-2511+13331.58)</f>
        <v>0</v>
      </c>
      <c r="AO43" s="328">
        <f aca="true" t="shared" si="52" ref="AO43:AO51">X43-AP43</f>
        <v>109384.9</v>
      </c>
      <c r="AP43" s="93"/>
      <c r="AQ43" s="118" t="s">
        <v>635</v>
      </c>
      <c r="AR43" s="119">
        <f>AO43-1.2/1.2*0-12/12*109384.9</f>
        <v>0</v>
      </c>
      <c r="AU43" s="141">
        <f aca="true" t="shared" si="53" ref="AU43:AU51">K43</f>
        <v>739556.11</v>
      </c>
      <c r="AV43" s="468">
        <f>1.2/1.2*144605.72*0+3/3*212112.72*0+4/4*417048.37*0+5/5*461848.61*0+6/6*525943.89*0+7/7*748670.69*0+8/8*908944.8*0+9/9*981860.42*0+10/10*1251357.65*0+11/11*1352411.94*0+12/12*1735361.87*0+2017/2017*1.2/1.2*102959.29*0+3/3*196577.03*0+4/4*445313.41*0+5/5*489166.05*0+6/6*526966.18*0+7/7*577037.71*0+8/8*843462.76*0+9/9*908993.62*0+10/10*1135908.57*0+11/11*1211617.2*0+12/12*1488327.43</f>
        <v>1488327.43</v>
      </c>
      <c r="AW43" s="143">
        <f aca="true" t="shared" si="54" ref="AW43:AW51">AU43+AV43</f>
        <v>2227883.54</v>
      </c>
      <c r="AX43" s="189" t="s">
        <v>179</v>
      </c>
      <c r="AY43" s="51"/>
      <c r="AZ43" s="144">
        <f aca="true" t="shared" si="55" ref="AZ43:AZ51">X43</f>
        <v>109384.9</v>
      </c>
      <c r="BA43" s="468">
        <f>1.2/1.2*297498.21*0+3/3*414901.22*0+4/4*519086.3*0+5/5*622753.04*0+6/6*737479.22*0+7/7*808324.55*0+8/8*863886.31*0+9/9*965198.83*0+10/10*1119637.96*0+11/11*1264540.11*0+12/12*1406413.64*0+2017/2017*1.2/1.2*217247.5*0+3/3*364259.33*0+4/4*482364.3*0+5/5*557617.09*0+6/6*660765.83*0+7/7*729147.07*0+8/8*804806.83*0+9/9*916042.4*0+10/10*1015280.25*0+11/11*1117099.96*0+12/12*1238075.67</f>
        <v>1238075.67</v>
      </c>
      <c r="BB43" s="145">
        <f aca="true" t="shared" si="56" ref="BB43:BB51">AZ43+BA43</f>
        <v>1347460.5699999998</v>
      </c>
      <c r="BC43" s="146">
        <f aca="true" t="shared" si="57" ref="BC43:BC51">BB43-AW43</f>
        <v>-880422.9700000002</v>
      </c>
    </row>
    <row r="44" spans="1:55" ht="22.5" customHeight="1">
      <c r="A44" s="26" t="s">
        <v>22</v>
      </c>
      <c r="B44" s="348"/>
      <c r="C44" s="388">
        <v>2274</v>
      </c>
      <c r="D44" s="389"/>
      <c r="E44" s="389">
        <v>5</v>
      </c>
      <c r="F44" s="389"/>
      <c r="G44" s="389"/>
      <c r="H44" s="389"/>
      <c r="I44" s="389">
        <v>35.4</v>
      </c>
      <c r="J44" s="388">
        <f t="shared" si="49"/>
        <v>2314.4</v>
      </c>
      <c r="K44" s="93">
        <f>1.2/1.2*(161444.15*0+3/3*322580.65*0+4/4*503270.67*0+5/5*658653.38*0+6/6*838394.38*0+7/7*1022496.38*0+8/8*1180048.61*0+9/9*1335564.61*0+10/10*1589224.61*0+11/11*1828270.61*0+12/12*(2224644.8-98/98*(30000+9277.19+10000))-81/81*K106+604/604*104686.63*0+3/3*151412.13*0+4/4*198903.07*0+5/5*206160.39*0+6/6*255685.12*0+7/7*259916.06*0+8/8*294285.63*0+9/9*302087.2*0+10/10*308453.15*0+11/11*322278.86*0+12/12*343200.31)+4/4*610/610*3092</f>
        <v>2450559.92</v>
      </c>
      <c r="L44" s="62">
        <f>K44/(J44*1000)</f>
        <v>1.0588316280677497</v>
      </c>
      <c r="M44" s="197">
        <f>9/9*1640743.81-K44</f>
        <v>-809816.1099999999</v>
      </c>
      <c r="O44" s="4"/>
      <c r="P44" s="388">
        <v>200</v>
      </c>
      <c r="Q44" s="389"/>
      <c r="R44" s="389"/>
      <c r="S44" s="389"/>
      <c r="T44" s="389"/>
      <c r="U44" s="389"/>
      <c r="V44" s="389"/>
      <c r="W44" s="388">
        <f t="shared" si="50"/>
        <v>200</v>
      </c>
      <c r="X44" s="93">
        <f>2/2*37082*0+3/3*56387*0+5/5*69777*0+6/6*97531*0+8/8*107969*0+9/9*132982*0+10/10*157520*0+11/11*159720*0+12/12*184881</f>
        <v>184881</v>
      </c>
      <c r="Y44" s="62">
        <f>X44/(W44*1000)</f>
        <v>0.924405</v>
      </c>
      <c r="AA44" s="240">
        <f t="shared" si="51"/>
        <v>368018.4499999997</v>
      </c>
      <c r="AB44" s="93">
        <f>1.2/1.2*(161444.15*0+3/3*322580.65*0+4/4*503270.67*0+5/5*658653.38*0+6/6*838394.38*0+7/7*1022496.38*0+8/8*1180048.61*0+9/9*1335564.61*0+10/10*1589224.61*0+11/11*1828270.61-81/81*AB106+604/604*104686.63*0+3/3*151412.13*0+4/4*198903.07*0+5/5*206160.39*0+6/6*255685.12*0+7/7*259916.06*0+8/8*294285.63*0+9/9*302087.2*0+10/10*308453.15*0+11/11*322278.86)+4/4*610/610*3092</f>
        <v>2082541.4700000002</v>
      </c>
      <c r="AC44" s="85" t="s">
        <v>141</v>
      </c>
      <c r="AD44" s="201" t="s">
        <v>228</v>
      </c>
      <c r="AE44" s="201" t="s">
        <v>261</v>
      </c>
      <c r="AF44" s="201" t="s">
        <v>308</v>
      </c>
      <c r="AG44" s="201" t="s">
        <v>356</v>
      </c>
      <c r="AH44" s="201" t="s">
        <v>412</v>
      </c>
      <c r="AI44" s="229" t="s">
        <v>460</v>
      </c>
      <c r="AJ44" s="229" t="s">
        <v>527</v>
      </c>
      <c r="AK44" s="255" t="s">
        <v>564</v>
      </c>
      <c r="AL44" s="255" t="s">
        <v>609</v>
      </c>
      <c r="AM44" s="255" t="s">
        <v>665</v>
      </c>
      <c r="AN44" s="73">
        <f>AA44-1.2/1.2*(161444.15+604/604*104686.63)*0-3/3*(161136.5+13679.5+26257+3500+3289)*0-4/4*(180690.02+47490.94+3092)*0-5/5*(155382.71+4/4*(7257.32))*0-6/6*(179741-71100+49524.73)*0-7/7*(184102+1633.5+2597.44)*0-8/8*(141062+50859.8)*0-9/9*(155516+7801.57)*0-10/10*(253660+6365.95)*0-11/11*(239046+(4333+8361.71+1131))*0-12/12*(396374.19-10000+20921.45)</f>
        <v>-39277.19000000029</v>
      </c>
      <c r="AO44" s="328">
        <f t="shared" si="52"/>
        <v>25161</v>
      </c>
      <c r="AP44" s="343">
        <f>2/2*37082*0+3/3*56387*0+5/5*69777*0+6/6*97531*0+8/8*107969*0+9/9*132982*0+10/10*157520*0+11/11*159720</f>
        <v>159720</v>
      </c>
      <c r="AQ44" s="118" t="s">
        <v>636</v>
      </c>
      <c r="AR44" s="119">
        <f>AO44-1.2/1.2*37082*0-3/3*19305*0-5/5*13390*0-6/6*27754*0-8/8*10438*0-9/9*25013*0-10/10*24538*0-11/11*2200*0-12/12*25161</f>
        <v>0</v>
      </c>
      <c r="AU44" s="141">
        <f t="shared" si="53"/>
        <v>2450559.92</v>
      </c>
      <c r="AV44" s="142"/>
      <c r="AW44" s="143">
        <f t="shared" si="54"/>
        <v>2450559.92</v>
      </c>
      <c r="AX44" s="120"/>
      <c r="AY44" s="51"/>
      <c r="AZ44" s="144">
        <f t="shared" si="55"/>
        <v>184881</v>
      </c>
      <c r="BA44" s="142"/>
      <c r="BB44" s="145">
        <f t="shared" si="56"/>
        <v>184881</v>
      </c>
      <c r="BC44" s="146">
        <f t="shared" si="57"/>
        <v>-2265678.92</v>
      </c>
    </row>
    <row r="45" spans="1:55" ht="24.75" customHeight="1">
      <c r="A45" s="26" t="s">
        <v>23</v>
      </c>
      <c r="B45" s="348"/>
      <c r="C45" s="388">
        <f>1515+6/6*2000</f>
        <v>3515</v>
      </c>
      <c r="D45" s="389"/>
      <c r="E45" s="389">
        <v>48</v>
      </c>
      <c r="F45" s="389"/>
      <c r="G45" s="389"/>
      <c r="H45" s="389">
        <v>-2000</v>
      </c>
      <c r="I45" s="389">
        <v>47.8</v>
      </c>
      <c r="J45" s="388">
        <f t="shared" si="49"/>
        <v>1610.8</v>
      </c>
      <c r="K45" s="93">
        <f>1.2/1.2*(218479.42*0+3/3*349684.05*0+4/4*414951.13*0+5/5*554579.6*0+6/6*685539.53*0+7/7*911291.24*0+8/8*894551.31*0+9/9*1051982.63*0+10/10*1086566.24*0+11/11*1250046.53*0+12/12*1463016.49-81/81*K106*0*6/6-98/98*(9330+12/12*(16000+35000+27000))+604/604*55822.7*0+3/3*62441.7*0+4/4*131919.47*0+5/5*138136.47*0+6/6*155815.17*0+7/7*156004.17*0+8/8*(180114.57*0+9/9*378700.57*0+10/10*379794.57*0+11/11*383961.97*0+12/12*401021.54+12/12*(98/98*-67000)+610/610*1910)-98/98*65488.17*0)</f>
        <v>1711618.03</v>
      </c>
      <c r="L45" s="62">
        <f>K45/(J45*1000)</f>
        <v>1.0625887943878818</v>
      </c>
      <c r="M45" s="197">
        <f>9/9*1990943.57-K45-K47-K46-98/98*(9330+41756.6+14900+604/604*65488.17)</f>
        <v>-535531.5</v>
      </c>
      <c r="O45" s="4"/>
      <c r="P45" s="388"/>
      <c r="Q45" s="389"/>
      <c r="R45" s="389"/>
      <c r="S45" s="389"/>
      <c r="T45" s="389"/>
      <c r="U45" s="389"/>
      <c r="V45" s="389"/>
      <c r="W45" s="388">
        <f t="shared" si="50"/>
        <v>0</v>
      </c>
      <c r="X45" s="93"/>
      <c r="Y45" s="62"/>
      <c r="AA45" s="240">
        <f t="shared" si="51"/>
        <v>150517.69999999995</v>
      </c>
      <c r="AB45" s="93">
        <f>1.2/1.2*(218479.42*0+3/3*349684.05*0+4/4*414951.13*0+5/5*554579.6*0+6/6*685539.53*0+7/7*911291.24*0+8/8*894551.31*0+9/9*1051982.63*0+10/10*1086566.24*0+11/11*1250046.53-81/81*AB106*0*6/6-98/98*(9330)+604/604*55822.7*0+3/3*62441.7*0+4/4*131919.47*0+5/5*138136.47*0+6/6*155815.17*0+7/7*156004.17*0+8/8*(180114.57*0+9/9*378700.57*0+10/10*379794.57*0+11/11*383961.97+610/610*1910)-98/98*65488.17)</f>
        <v>1561100.33</v>
      </c>
      <c r="AC45" s="85" t="s">
        <v>142</v>
      </c>
      <c r="AD45" s="201" t="s">
        <v>303</v>
      </c>
      <c r="AE45" s="201" t="s">
        <v>259</v>
      </c>
      <c r="AF45" s="201" t="s">
        <v>331</v>
      </c>
      <c r="AG45" s="201" t="s">
        <v>358</v>
      </c>
      <c r="AH45" s="201" t="s">
        <v>415</v>
      </c>
      <c r="AI45" s="229" t="s">
        <v>465</v>
      </c>
      <c r="AJ45" s="229" t="s">
        <v>528</v>
      </c>
      <c r="AK45" s="255" t="s">
        <v>691</v>
      </c>
      <c r="AL45" s="255" t="s">
        <v>610</v>
      </c>
      <c r="AM45" s="255" t="s">
        <v>669</v>
      </c>
      <c r="AN45" s="73">
        <f>AA45-1.2/1.2*((170400.42+48079)+604/604*(-10482+(18622+18150)+11186+8826+9520.7))*0-3/3*(131204.63+2540+386+385+708+2600)*0-4/4*(65267.08-71100+69477.77)*0-5/5*(139628.47+(3850+385+1274+708))*0-6/6*(130959.93+71100-98/98*(9330+65488.17)+17678.7)*0-7/7*(225940.71)*0-8/8*((113418-134158)+28110.47+1910)*0-9/9*(157431.32+604/604*198586)*0-10/10*(162769-139182+10996.61+1094)*0-11/11*(163480.29+(605+2468.4+708+386))*0-12/12*(212969.96+17059.57+98/98*(-78000-67000))</f>
        <v>65488.169999999955</v>
      </c>
      <c r="AO45" s="328">
        <f t="shared" si="52"/>
        <v>0</v>
      </c>
      <c r="AP45" s="93"/>
      <c r="AQ45" s="118"/>
      <c r="AR45" s="119">
        <f aca="true" t="shared" si="58" ref="AR45:AR51">AO45-1.2/1.2*0</f>
        <v>0</v>
      </c>
      <c r="AU45" s="141">
        <f t="shared" si="53"/>
        <v>1711618.03</v>
      </c>
      <c r="AV45" s="468">
        <f>1.2/1.2*43828*0+3/3*78508*0+4/4*238018*0+5/5*238018*0+6/6*243018*0+7/7*354009*0+8/8*376812.71*0+9/9*386659.71*0+10/10*542305.11*0+11/11*630809.31*0+12/12*793604.21*0+2017/2017*1.2/1.2*67398.23*0+3/3*107123.63*0+4/4*223462.9*0+5/5*253712.9*0+6/6*270552.43*0+7/7*274752.43*0+8/8*395144.43*0+9/9*404729.43*0+10/10*592423.43*0+11/11*626081.57*0+12/12*907865.05</f>
        <v>907865.05</v>
      </c>
      <c r="AW45" s="143">
        <f t="shared" si="54"/>
        <v>2619483.08</v>
      </c>
      <c r="AX45" s="189" t="s">
        <v>180</v>
      </c>
      <c r="AY45" s="51"/>
      <c r="AZ45" s="144">
        <f t="shared" si="55"/>
        <v>0</v>
      </c>
      <c r="BA45" s="468">
        <f>1.2/1.2*60225.12*0+3/3*123313.37*0+4/4*139131.39*0+5/5*140536.27*0+6/6*154391.63*0+7/7*174886.35*0+9/9*203667.21*0+10/10*250433.4*0+11/11*325480.78*0+12/12*349933.93*0+2017/2017*1.2/1.2*98934*0+3/3*118058.68*0+4/4*135856.94*0+5/5*137387.44*0+6/6*141478.12*7/7*8/8*0+9/9*160409.47*0+10/10*252174.37*0+11/11*274351.89*0+12/12*369707.03</f>
        <v>369707.03</v>
      </c>
      <c r="BB45" s="145">
        <f t="shared" si="56"/>
        <v>369707.03</v>
      </c>
      <c r="BC45" s="146">
        <f t="shared" si="57"/>
        <v>-2249776.05</v>
      </c>
    </row>
    <row r="46" spans="1:55" ht="12" customHeight="1">
      <c r="A46" s="26" t="s">
        <v>24</v>
      </c>
      <c r="B46" s="348"/>
      <c r="C46" s="388"/>
      <c r="D46" s="389"/>
      <c r="E46" s="389"/>
      <c r="F46" s="389"/>
      <c r="G46" s="389"/>
      <c r="H46" s="389"/>
      <c r="I46" s="389"/>
      <c r="J46" s="388">
        <f t="shared" si="49"/>
        <v>0</v>
      </c>
      <c r="K46" s="93">
        <f>1.2/1.2*(715/715*1320*0+3/3*2640*0+4/4*3960*0+5/5*5280*0+6/6*6600*0+7/7*7920*0+8/8*9240*0+9/9*10560*0+10/10*11880*0+11/11*13200*0+12/12*15840+716/716*4890*0+3/3*7899*0+4/4*10061*0+11/11*10461*0+12/12*18961)</f>
        <v>34801</v>
      </c>
      <c r="L46" s="56"/>
      <c r="M46" s="111">
        <f>3313/3313*(603/603*(539882.75+106/106*1027-98/98*(20500+2511))+604/604*219321.36+610/610*2336+98/98*(20500+2511)*0-739556.11)+3314/3314*(603/603*2224644.8-81/81*71100-98/98*(30000+9277.19+10000)+604/604*343200.31+610/610*3092-2450559.92)+3319/3319*(603/603*1463016.49-98/98*(16000+35000+27000+9330)+604/604*(401021.54-98/98*67000)+610/610*1910)</f>
        <v>1711618.03</v>
      </c>
      <c r="O46" s="4"/>
      <c r="P46" s="388"/>
      <c r="Q46" s="389"/>
      <c r="R46" s="389"/>
      <c r="S46" s="389"/>
      <c r="T46" s="389"/>
      <c r="U46" s="389"/>
      <c r="V46" s="389"/>
      <c r="W46" s="388">
        <f t="shared" si="50"/>
        <v>0</v>
      </c>
      <c r="X46" s="93"/>
      <c r="Y46" s="56"/>
      <c r="AA46" s="240">
        <f t="shared" si="51"/>
        <v>11140</v>
      </c>
      <c r="AB46" s="93">
        <f>1.2/1.2*(715/715*1320*0+3/3*2640*0+4/4*3960*0+5/5*5280*0+6/6*6600*0+7/7*7920*0+8/8*9240*0+9/9*10560*0+10/10*11880*0+11/11*13200+716/716*4890*0+3/3*7899*0+4/4*10061*0+11/11*10461)</f>
        <v>23661</v>
      </c>
      <c r="AC46" s="85" t="s">
        <v>139</v>
      </c>
      <c r="AD46" s="85" t="s">
        <v>208</v>
      </c>
      <c r="AE46" s="201" t="s">
        <v>257</v>
      </c>
      <c r="AF46" s="201" t="s">
        <v>304</v>
      </c>
      <c r="AG46" s="201" t="s">
        <v>357</v>
      </c>
      <c r="AH46" s="201" t="s">
        <v>357</v>
      </c>
      <c r="AI46" s="229" t="s">
        <v>357</v>
      </c>
      <c r="AJ46" s="229" t="s">
        <v>357</v>
      </c>
      <c r="AK46" s="255">
        <f>103867+25962+9353</f>
        <v>139182</v>
      </c>
      <c r="AL46" s="255" t="s">
        <v>611</v>
      </c>
      <c r="AM46" s="255" t="s">
        <v>668</v>
      </c>
      <c r="AN46" s="73">
        <f>AA46-1.2/1.2*(715/715*1320+716/716*4890)*0-3/3*(1320+3009)*0-4/4*(1320+2162)*0-5/5*1320*(6/6)*7/7*(0+8/8*0+9/9*0+10/10*0+11/11*0)+716/716*-11/11*400*0-12/12*(2*1320+8500)</f>
        <v>0</v>
      </c>
      <c r="AO46" s="328">
        <f t="shared" si="52"/>
        <v>0</v>
      </c>
      <c r="AP46" s="93"/>
      <c r="AQ46" s="118"/>
      <c r="AR46" s="119">
        <f t="shared" si="58"/>
        <v>0</v>
      </c>
      <c r="AU46" s="141">
        <f t="shared" si="53"/>
        <v>34801</v>
      </c>
      <c r="AV46" s="142"/>
      <c r="AW46" s="143">
        <f t="shared" si="54"/>
        <v>34801</v>
      </c>
      <c r="AX46" s="120"/>
      <c r="AY46" s="51"/>
      <c r="AZ46" s="144">
        <f t="shared" si="55"/>
        <v>0</v>
      </c>
      <c r="BA46" s="142"/>
      <c r="BB46" s="145">
        <f t="shared" si="56"/>
        <v>0</v>
      </c>
      <c r="BC46" s="146">
        <f t="shared" si="57"/>
        <v>-34801</v>
      </c>
    </row>
    <row r="47" spans="1:55" ht="24.75" customHeight="1">
      <c r="A47" s="26" t="s">
        <v>25</v>
      </c>
      <c r="B47" s="348"/>
      <c r="C47" s="388"/>
      <c r="D47" s="389"/>
      <c r="E47" s="389"/>
      <c r="F47" s="389"/>
      <c r="G47" s="389"/>
      <c r="H47" s="389"/>
      <c r="I47" s="389">
        <v>704.4</v>
      </c>
      <c r="J47" s="388">
        <f t="shared" si="49"/>
        <v>704.4</v>
      </c>
      <c r="K47" s="93">
        <f>1.2/1.2*111216/111216*14900-6/6*98/98*14900+3/3*241216/241216*625+250217/250217*625+5/5*106/106*(32756.6*0+6/6*55256.6-98/98*(41756.6*0+55256.6))+30617/30617*(1166.4*0+6/6*238456.4+4000-12/12*98/98*137200)+111117/111117*1013.8+160917/160917*(1402.6*0+9/9*203342.6)+170617/170617*(1402.6*0+6/6*13282.6*0+7/7*14122.6)+6/6*(71017/71017*(1359.37*0+9/9*2359.37*0+10/10*34782.37*0+11/11*35556.87)+130517/130517*610/610*988)+7/7*130517/130517*600+9/9*1415/1415*1440*0+10/10*(255070*0+11/11*259921+392016/392016*10530+11/11*3*500)+11/11*41117/41117*14500</f>
        <v>648581.27</v>
      </c>
      <c r="L47" s="56"/>
      <c r="O47" s="4"/>
      <c r="P47" s="388"/>
      <c r="Q47" s="389"/>
      <c r="R47" s="389"/>
      <c r="S47" s="389"/>
      <c r="T47" s="389"/>
      <c r="U47" s="389"/>
      <c r="V47" s="389"/>
      <c r="W47" s="388">
        <f t="shared" si="50"/>
        <v>0</v>
      </c>
      <c r="X47" s="93"/>
      <c r="Y47" s="56"/>
      <c r="AA47" s="240">
        <f t="shared" si="51"/>
        <v>-150700</v>
      </c>
      <c r="AB47" s="93">
        <f>1.2/1.2*111216/111216*14900-6/6*98/98*14900+3/3*241216/241216*625+250217/250217*625+5/5*106/106*(32756.6*0+6/6*55256.6-98/98*41756.6)+30617/30617*(1166.4*0+6/6*238456.4+4000)+111117/111117*1013.8+160917/160917*(1402.6*0+9/9*203342.6)+170617/170617*(1402.6*0+6/6*13282.6*0+7/7*14122.6)+6/6*(71017/71017*(1359.37*0+9/9*2359.37*0+10/10*34782.37*0+11/11*35556.87)+130517/130517*610/610*988)+7/7*130517/130517*600+9/9*1415/1415*1440*0+10/10*(255070*0+11/11*259921+392016/392016*10530+11/11*3*500)+11/11*41117/41117*14500</f>
        <v>799281.27</v>
      </c>
      <c r="AC47" s="85" t="s">
        <v>140</v>
      </c>
      <c r="AD47" s="201" t="s">
        <v>209</v>
      </c>
      <c r="AE47" s="201"/>
      <c r="AF47" s="201" t="s">
        <v>305</v>
      </c>
      <c r="AG47" s="201" t="s">
        <v>381</v>
      </c>
      <c r="AH47" s="201" t="s">
        <v>413</v>
      </c>
      <c r="AI47" s="229"/>
      <c r="AJ47" s="229" t="s">
        <v>526</v>
      </c>
      <c r="AK47" s="255" t="s">
        <v>565</v>
      </c>
      <c r="AL47" s="255" t="s">
        <v>607</v>
      </c>
      <c r="AM47" s="255" t="s">
        <v>667</v>
      </c>
      <c r="AN47" s="73">
        <f>AA47-1.2/1.2*14900*0-3/3*625*2*0-5/5*(32756.6+1166.4+1013.8+1402.6*2)*0-6/6*((22500-41756.6+(237290+4000)+11880+1359.37+988)+14900)*0-7/7*(840+600)*0-9/9*(201940+1000+1440)*0-10/10*(32423+253630+10530)*0-11/11*(14500+774.5+(1560+3291)+3*500)*0-12/12*(-13500-137200)</f>
        <v>0</v>
      </c>
      <c r="AO47" s="328">
        <f t="shared" si="52"/>
        <v>0</v>
      </c>
      <c r="AP47" s="93"/>
      <c r="AQ47" s="118"/>
      <c r="AR47" s="119">
        <f t="shared" si="58"/>
        <v>0</v>
      </c>
      <c r="AU47" s="141">
        <f t="shared" si="53"/>
        <v>648581.27</v>
      </c>
      <c r="AV47" s="142"/>
      <c r="AW47" s="143">
        <f t="shared" si="54"/>
        <v>648581.27</v>
      </c>
      <c r="AX47" s="120"/>
      <c r="AY47" s="51"/>
      <c r="AZ47" s="144">
        <f t="shared" si="55"/>
        <v>0</v>
      </c>
      <c r="BA47" s="142"/>
      <c r="BB47" s="145">
        <f t="shared" si="56"/>
        <v>0</v>
      </c>
      <c r="BC47" s="146">
        <f t="shared" si="57"/>
        <v>-648581.27</v>
      </c>
    </row>
    <row r="48" spans="1:55" ht="12" customHeight="1">
      <c r="A48" s="26" t="s">
        <v>461</v>
      </c>
      <c r="B48" s="348"/>
      <c r="C48" s="388">
        <f>6/6*300</f>
        <v>300</v>
      </c>
      <c r="D48" s="389"/>
      <c r="E48" s="389"/>
      <c r="F48" s="389"/>
      <c r="G48" s="389"/>
      <c r="H48" s="389">
        <f>106-192</f>
        <v>-86</v>
      </c>
      <c r="I48" s="389"/>
      <c r="J48" s="388">
        <f t="shared" si="49"/>
        <v>214</v>
      </c>
      <c r="K48" s="93">
        <f>105000*0+4/4*6121/6121*107770+8/8*5171/5171*(33275*0+11/11*105875*0+12/12*131527)</f>
        <v>239297</v>
      </c>
      <c r="L48" s="62">
        <f>K48/(J48*1000)</f>
        <v>1.1182102803738319</v>
      </c>
      <c r="O48" s="4"/>
      <c r="P48" s="388"/>
      <c r="Q48" s="389"/>
      <c r="R48" s="389"/>
      <c r="S48" s="389"/>
      <c r="T48" s="389"/>
      <c r="U48" s="389"/>
      <c r="V48" s="389"/>
      <c r="W48" s="388">
        <f t="shared" si="50"/>
        <v>0</v>
      </c>
      <c r="X48" s="93"/>
      <c r="Y48" s="62"/>
      <c r="AA48" s="240">
        <f t="shared" si="51"/>
        <v>25652</v>
      </c>
      <c r="AB48" s="93">
        <f>105000*0+4/4*107770+8/8*5171/5171*(33275*0+11/11*105875)</f>
        <v>213645</v>
      </c>
      <c r="AC48" s="85" t="s">
        <v>143</v>
      </c>
      <c r="AD48" s="201"/>
      <c r="AE48" s="201" t="s">
        <v>260</v>
      </c>
      <c r="AF48" s="201"/>
      <c r="AG48" s="201"/>
      <c r="AH48" s="201"/>
      <c r="AI48" s="229" t="s">
        <v>464</v>
      </c>
      <c r="AJ48" s="229"/>
      <c r="AK48" s="255"/>
      <c r="AL48" s="255" t="s">
        <v>606</v>
      </c>
      <c r="AM48" s="255" t="s">
        <v>670</v>
      </c>
      <c r="AN48" s="73">
        <f>AA48-1.2/1.2*105000*0-4/4*2770*0-8/8*33275*0-11/11*72600*0-12/12*25652</f>
        <v>0</v>
      </c>
      <c r="AO48" s="328">
        <f t="shared" si="52"/>
        <v>0</v>
      </c>
      <c r="AP48" s="93"/>
      <c r="AQ48" s="118"/>
      <c r="AR48" s="119">
        <f t="shared" si="58"/>
        <v>0</v>
      </c>
      <c r="AU48" s="141">
        <f t="shared" si="53"/>
        <v>239297</v>
      </c>
      <c r="AV48" s="142"/>
      <c r="AW48" s="143">
        <f t="shared" si="54"/>
        <v>239297</v>
      </c>
      <c r="AX48" s="120"/>
      <c r="AY48" s="51"/>
      <c r="AZ48" s="144">
        <f t="shared" si="55"/>
        <v>0</v>
      </c>
      <c r="BA48" s="142"/>
      <c r="BB48" s="145">
        <f t="shared" si="56"/>
        <v>0</v>
      </c>
      <c r="BC48" s="146">
        <f t="shared" si="57"/>
        <v>-239297</v>
      </c>
    </row>
    <row r="49" spans="1:55" ht="12" customHeight="1">
      <c r="A49" s="212" t="s">
        <v>328</v>
      </c>
      <c r="B49" s="355"/>
      <c r="C49" s="388"/>
      <c r="D49" s="389"/>
      <c r="E49" s="389"/>
      <c r="F49" s="389"/>
      <c r="G49" s="389"/>
      <c r="H49" s="389"/>
      <c r="I49" s="389"/>
      <c r="J49" s="388">
        <f t="shared" si="49"/>
        <v>0</v>
      </c>
      <c r="K49" s="93">
        <f>5/5*399134/399134*10000*0*98/98</f>
        <v>0</v>
      </c>
      <c r="L49" s="56"/>
      <c r="O49" s="4"/>
      <c r="P49" s="388"/>
      <c r="Q49" s="389"/>
      <c r="R49" s="389"/>
      <c r="S49" s="389"/>
      <c r="T49" s="389"/>
      <c r="U49" s="389"/>
      <c r="V49" s="389"/>
      <c r="W49" s="388">
        <f t="shared" si="50"/>
        <v>0</v>
      </c>
      <c r="X49" s="93"/>
      <c r="Y49" s="56"/>
      <c r="AA49" s="240">
        <f t="shared" si="51"/>
        <v>0</v>
      </c>
      <c r="AB49" s="93">
        <f>5/5*399134/399134*10000*0*98/98</f>
        <v>0</v>
      </c>
      <c r="AC49" s="85"/>
      <c r="AD49" s="201"/>
      <c r="AE49" s="201"/>
      <c r="AF49" s="201" t="s">
        <v>306</v>
      </c>
      <c r="AG49" s="201" t="s">
        <v>359</v>
      </c>
      <c r="AH49" s="201"/>
      <c r="AI49" s="229"/>
      <c r="AJ49" s="229"/>
      <c r="AK49" s="255"/>
      <c r="AL49" s="255"/>
      <c r="AM49" s="255"/>
      <c r="AN49" s="73">
        <f>AA49-5/5*10000*0-6/6*-10000*0</f>
        <v>0</v>
      </c>
      <c r="AO49" s="328">
        <f t="shared" si="52"/>
        <v>0</v>
      </c>
      <c r="AP49" s="93"/>
      <c r="AQ49" s="118"/>
      <c r="AR49" s="119">
        <f t="shared" si="58"/>
        <v>0</v>
      </c>
      <c r="AU49" s="141">
        <f t="shared" si="53"/>
        <v>0</v>
      </c>
      <c r="AV49" s="142"/>
      <c r="AW49" s="143">
        <f t="shared" si="54"/>
        <v>0</v>
      </c>
      <c r="AX49" s="120"/>
      <c r="AY49" s="51"/>
      <c r="AZ49" s="144">
        <f t="shared" si="55"/>
        <v>0</v>
      </c>
      <c r="BA49" s="142"/>
      <c r="BB49" s="145">
        <f t="shared" si="56"/>
        <v>0</v>
      </c>
      <c r="BC49" s="146">
        <f t="shared" si="57"/>
        <v>0</v>
      </c>
    </row>
    <row r="50" spans="1:55" ht="12" customHeight="1">
      <c r="A50" s="212" t="s">
        <v>462</v>
      </c>
      <c r="B50" s="355"/>
      <c r="C50" s="388"/>
      <c r="D50" s="389"/>
      <c r="E50" s="389"/>
      <c r="F50" s="389"/>
      <c r="G50" s="389"/>
      <c r="H50" s="389"/>
      <c r="I50" s="389">
        <v>139.8</v>
      </c>
      <c r="J50" s="388">
        <f t="shared" si="49"/>
        <v>139.8</v>
      </c>
      <c r="K50" s="93">
        <f>8/8*30855*0+12/12*139755</f>
        <v>139755</v>
      </c>
      <c r="L50" s="56"/>
      <c r="O50" s="4"/>
      <c r="P50" s="388"/>
      <c r="Q50" s="389"/>
      <c r="R50" s="389"/>
      <c r="S50" s="389"/>
      <c r="T50" s="389"/>
      <c r="U50" s="389"/>
      <c r="V50" s="389"/>
      <c r="W50" s="388">
        <f>SUM(P50:V50)</f>
        <v>0</v>
      </c>
      <c r="X50" s="93"/>
      <c r="Y50" s="56"/>
      <c r="AA50" s="240">
        <f>K50-AB50</f>
        <v>108900</v>
      </c>
      <c r="AB50" s="93">
        <f>8/8*30855</f>
        <v>30855</v>
      </c>
      <c r="AC50" s="85"/>
      <c r="AD50" s="201"/>
      <c r="AE50" s="201"/>
      <c r="AF50" s="201"/>
      <c r="AG50" s="201"/>
      <c r="AH50" s="201"/>
      <c r="AI50" s="229" t="s">
        <v>463</v>
      </c>
      <c r="AJ50" s="229"/>
      <c r="AK50" s="255"/>
      <c r="AL50" s="255"/>
      <c r="AM50" s="255" t="s">
        <v>671</v>
      </c>
      <c r="AN50" s="73">
        <f>AA50-8/8*30855*0-12/12*108900</f>
        <v>0</v>
      </c>
      <c r="AO50" s="328"/>
      <c r="AP50" s="93"/>
      <c r="AQ50" s="118"/>
      <c r="AR50" s="119">
        <f>AO50-1.2/1.2*0</f>
        <v>0</v>
      </c>
      <c r="AU50" s="141">
        <f>K50</f>
        <v>139755</v>
      </c>
      <c r="AV50" s="142"/>
      <c r="AW50" s="143">
        <f>AU50+AV50</f>
        <v>139755</v>
      </c>
      <c r="AX50" s="120"/>
      <c r="AY50" s="51"/>
      <c r="AZ50" s="144">
        <f>X50</f>
        <v>0</v>
      </c>
      <c r="BA50" s="142"/>
      <c r="BB50" s="145">
        <f>AZ50+BA50</f>
        <v>0</v>
      </c>
      <c r="BC50" s="146">
        <f>BB50-AW50</f>
        <v>-139755</v>
      </c>
    </row>
    <row r="51" spans="1:55" ht="15">
      <c r="A51" s="26" t="s">
        <v>692</v>
      </c>
      <c r="B51" s="348"/>
      <c r="C51" s="388"/>
      <c r="D51" s="389"/>
      <c r="E51" s="389"/>
      <c r="F51" s="389"/>
      <c r="G51" s="389"/>
      <c r="H51" s="389">
        <f>601/601*240.5</f>
        <v>240.5</v>
      </c>
      <c r="I51" s="389">
        <f>0*404/404+47.6*604/604</f>
        <v>47.6</v>
      </c>
      <c r="J51" s="388">
        <f t="shared" si="49"/>
        <v>288.1</v>
      </c>
      <c r="K51" s="93">
        <f>1.2/1.2*608/608*47580.9+6/6*601/601*116717.81*0+7/7*601/601*240488.53+3412/3412*10/10*(604/604*8233/8233*5962+610/610*1863)</f>
        <v>295894.43</v>
      </c>
      <c r="L51" s="56"/>
      <c r="M51" s="197">
        <f>9/9*667866.06-K51-4/4*K30-98/98*10000</f>
        <v>93175.00000000006</v>
      </c>
      <c r="O51" s="4"/>
      <c r="P51" s="388"/>
      <c r="Q51" s="389"/>
      <c r="R51" s="389"/>
      <c r="S51" s="389"/>
      <c r="T51" s="389"/>
      <c r="U51" s="389"/>
      <c r="V51" s="389"/>
      <c r="W51" s="388">
        <f>SUM(P51:V51)</f>
        <v>0</v>
      </c>
      <c r="X51" s="93"/>
      <c r="Y51" s="56"/>
      <c r="AA51" s="240">
        <f t="shared" si="51"/>
        <v>0</v>
      </c>
      <c r="AB51" s="93">
        <f>1.2/1.2*608/608*47580.9+6/6*601/601*116717.81*0+7/7*601/601*240488.53+3412/3412*10/10*(604/604*8233/8233*5962+610/610*1863)</f>
        <v>295894.43</v>
      </c>
      <c r="AC51" s="85" t="s">
        <v>144</v>
      </c>
      <c r="AD51" s="201"/>
      <c r="AE51" s="201"/>
      <c r="AF51" s="201"/>
      <c r="AG51" s="201" t="s">
        <v>360</v>
      </c>
      <c r="AH51" s="201" t="s">
        <v>414</v>
      </c>
      <c r="AI51" s="229"/>
      <c r="AJ51" s="229"/>
      <c r="AK51" s="255" t="s">
        <v>566</v>
      </c>
      <c r="AL51" s="255"/>
      <c r="AM51" s="255"/>
      <c r="AN51" s="73">
        <f>AA51-1/1*47580.9*0-6/6*116717.81*0-7/7*(73786+2045+47939.72)*0-10/10*(5962+1863)*0</f>
        <v>0</v>
      </c>
      <c r="AO51" s="328">
        <f t="shared" si="52"/>
        <v>0</v>
      </c>
      <c r="AP51" s="93"/>
      <c r="AQ51" s="118"/>
      <c r="AR51" s="119">
        <f t="shared" si="58"/>
        <v>0</v>
      </c>
      <c r="AU51" s="141">
        <f t="shared" si="53"/>
        <v>295894.43</v>
      </c>
      <c r="AV51" s="142"/>
      <c r="AW51" s="143">
        <f t="shared" si="54"/>
        <v>295894.43</v>
      </c>
      <c r="AX51" s="120"/>
      <c r="AY51" s="51"/>
      <c r="AZ51" s="144">
        <f t="shared" si="55"/>
        <v>0</v>
      </c>
      <c r="BA51" s="142"/>
      <c r="BB51" s="145">
        <f t="shared" si="56"/>
        <v>0</v>
      </c>
      <c r="BC51" s="146">
        <f t="shared" si="57"/>
        <v>-295894.43</v>
      </c>
    </row>
    <row r="52" spans="1:56" ht="15">
      <c r="A52" s="31" t="s">
        <v>36</v>
      </c>
      <c r="B52" s="356"/>
      <c r="C52" s="397">
        <f>SUM(C43:C51)</f>
        <v>6836</v>
      </c>
      <c r="D52" s="397">
        <f aca="true" t="shared" si="59" ref="D52:J52">SUM(D43:D51)</f>
        <v>0</v>
      </c>
      <c r="E52" s="397">
        <f>SUM(E43:E51)</f>
        <v>53</v>
      </c>
      <c r="F52" s="397">
        <f t="shared" si="59"/>
        <v>0</v>
      </c>
      <c r="G52" s="397">
        <f t="shared" si="59"/>
        <v>0</v>
      </c>
      <c r="H52" s="397">
        <f t="shared" si="59"/>
        <v>-1845.5</v>
      </c>
      <c r="I52" s="397">
        <f t="shared" si="59"/>
        <v>980.6</v>
      </c>
      <c r="J52" s="397">
        <f t="shared" si="59"/>
        <v>6024.1</v>
      </c>
      <c r="K52" s="76">
        <f>SUM(K43:K51)</f>
        <v>6260062.76</v>
      </c>
      <c r="L52" s="273">
        <f>K52/(J52*1000)</f>
        <v>1.039169794658123</v>
      </c>
      <c r="M52" s="471">
        <f>(1.2/1.2*0+3/3*6960.1*0+4/4*7024.1*0+6/6*7131.1*0+12/12*6540.2-J52-81/81*J106-98/98*J98)+(1.2/1.2*855998.72*0+3/3*1340488.48*0+4/4*1659700.69*0+5/5*2127756.88*0+6/6*3009186.33*0+7/7*3702548.7*0+8/8*3895737.4*0+9/9*4714768.18*0+10/10*5274168.21*0+11/11*5924829.66*0+12/12*6775137.55-K52-81/81*K106-98/98*K98)</f>
        <v>-5.684341886080801E-13</v>
      </c>
      <c r="O52" s="4"/>
      <c r="P52" s="397">
        <f>SUM(P43:P51)</f>
        <v>200</v>
      </c>
      <c r="Q52" s="397">
        <f aca="true" t="shared" si="60" ref="Q52:W52">SUM(Q43:Q51)</f>
        <v>0</v>
      </c>
      <c r="R52" s="397">
        <f>SUM(R43:R51)</f>
        <v>0</v>
      </c>
      <c r="S52" s="397">
        <f t="shared" si="60"/>
        <v>0</v>
      </c>
      <c r="T52" s="397">
        <f t="shared" si="60"/>
        <v>0</v>
      </c>
      <c r="U52" s="397">
        <f t="shared" si="60"/>
        <v>0</v>
      </c>
      <c r="V52" s="397">
        <f t="shared" si="60"/>
        <v>109.4</v>
      </c>
      <c r="W52" s="397">
        <f t="shared" si="60"/>
        <v>309.4</v>
      </c>
      <c r="X52" s="76">
        <f>SUM(X43:X51)</f>
        <v>294265.9</v>
      </c>
      <c r="Y52" s="273">
        <f>X52/(W52*1000)</f>
        <v>0.9510856496444733</v>
      </c>
      <c r="Z52" s="472">
        <f>(4/4*271.1*0+12/12*380.5-W52-W106)+(4/4*127487*0+7/7*168631*0+8/8*179069*0+11/11*230820*0+12/12*365365.9-X52-X106)</f>
        <v>2.842170943040401E-14</v>
      </c>
      <c r="AA52" s="322">
        <f>SUM(AA43:AA51)</f>
        <v>547807.8699999996</v>
      </c>
      <c r="AB52" s="76">
        <f>SUM(AB43:AB51)</f>
        <v>5712254.890000001</v>
      </c>
      <c r="AC52" s="179"/>
      <c r="AD52" s="179"/>
      <c r="AE52" s="179"/>
      <c r="AF52" s="179"/>
      <c r="AG52" s="179"/>
      <c r="AH52" s="179"/>
      <c r="AI52" s="296"/>
      <c r="AJ52" s="296"/>
      <c r="AK52" s="457"/>
      <c r="AL52" s="457"/>
      <c r="AM52" s="457"/>
      <c r="AN52" s="281">
        <f>SUM(AN43:AN51)</f>
        <v>26210.97999999966</v>
      </c>
      <c r="AO52" s="180">
        <f>SUM(AO43:AO51)</f>
        <v>134545.9</v>
      </c>
      <c r="AP52" s="76">
        <f>SUM(AP43:AP51)</f>
        <v>159720</v>
      </c>
      <c r="AQ52" s="180"/>
      <c r="AR52" s="180">
        <f>SUM(AR43:AR51)</f>
        <v>0</v>
      </c>
      <c r="AU52" s="172">
        <f aca="true" t="shared" si="61" ref="AU52:BC52">SUM(AU43:AU51)</f>
        <v>6260062.76</v>
      </c>
      <c r="AV52" s="173"/>
      <c r="AW52" s="174">
        <f t="shared" si="61"/>
        <v>8656255.24</v>
      </c>
      <c r="AX52" s="121"/>
      <c r="AY52" s="121"/>
      <c r="AZ52" s="175">
        <f t="shared" si="61"/>
        <v>294265.9</v>
      </c>
      <c r="BA52" s="173"/>
      <c r="BB52" s="173">
        <f t="shared" si="61"/>
        <v>1902048.5999999999</v>
      </c>
      <c r="BC52" s="176">
        <f t="shared" si="61"/>
        <v>-6754206.639999999</v>
      </c>
      <c r="BD52" s="197">
        <f>AZ52-X52</f>
        <v>0</v>
      </c>
    </row>
    <row r="53" spans="1:55" ht="29.25">
      <c r="A53" s="26" t="s">
        <v>26</v>
      </c>
      <c r="B53" s="348"/>
      <c r="C53" s="388">
        <f>5+16+25+45+2+85+25+25+8+2+50+50</f>
        <v>338</v>
      </c>
      <c r="D53" s="389"/>
      <c r="E53" s="389"/>
      <c r="F53" s="389"/>
      <c r="G53" s="389"/>
      <c r="H53" s="389"/>
      <c r="I53" s="389"/>
      <c r="J53" s="388">
        <f>SUM(C53:I53)</f>
        <v>338</v>
      </c>
      <c r="K53" s="93">
        <f>1.2/1.2*28174.41*0+3/3*53291.81*0+4/4*68368.26*0+5/5*145976.44*0+1607/1607*205367.11*0+7/7*255788.35*0+8/8*271367.12*0+9/9*606140.87*0+10/10*(649675.48+599)*0+11/11*679225.12*0+12/12*707461.51-14004/14004*11/11*49342-81/81*(677.6*0+1016.4*0+4/4*1355.2*0+5/5*1694*0+6/6*(2032.8*0+116137.31*0+81/81*K110))+1/1*(3/3*249*0+9/9*1752*0+11/11*9387)+130/130*3757+704/704*(2238.5*0+6/6*2868.5*0+12/12*3498.5)</f>
        <v>474762.01</v>
      </c>
      <c r="L53" s="62">
        <f>K53/(J53*1000)</f>
        <v>1.4046213313609468</v>
      </c>
      <c r="M53" s="274">
        <f>3/3*159558.21+4/4*276108.16-K53-K54</f>
        <v>-312335.30000000016</v>
      </c>
      <c r="O53" s="4"/>
      <c r="P53" s="388"/>
      <c r="Q53" s="389"/>
      <c r="R53" s="389"/>
      <c r="S53" s="389"/>
      <c r="T53" s="389"/>
      <c r="U53" s="389"/>
      <c r="V53" s="389"/>
      <c r="W53" s="388">
        <f>SUM(P53:V53)</f>
        <v>0</v>
      </c>
      <c r="X53" s="93"/>
      <c r="Y53" s="62"/>
      <c r="AA53" s="240">
        <f>K53-AB53</f>
        <v>-18428.089999999967</v>
      </c>
      <c r="AB53" s="93">
        <f>1.2/1.2*28174.41*0+3/3*53291.81*0+4/4*68368.26*0+5/5*145976.44*0+1607/1607*205367.11*0+7/7*255788.35*0+8/8*271367.12*0+9/9*606140.87*0+10/10*(649675.48+599)*0+11/11*679225.12-14004/14004*11/11*49342-81/81*(677.6*0+1016.4*0+4/4*1355.2*0+5/5*1694*0+6/6*(2032.8*0+116137.31*0+81/81*AB110))+1/1*(3/3*249*0+9/9*1752*0+11/11*9387)+130/130*3757+704/704*(2238.5*0+6/6*2868.5)</f>
        <v>493190.1</v>
      </c>
      <c r="AC53" s="85" t="s">
        <v>149</v>
      </c>
      <c r="AD53" s="229" t="s">
        <v>210</v>
      </c>
      <c r="AE53" s="201" t="s">
        <v>269</v>
      </c>
      <c r="AF53" s="201" t="s">
        <v>309</v>
      </c>
      <c r="AG53" s="201" t="s">
        <v>370</v>
      </c>
      <c r="AH53" s="201" t="s">
        <v>416</v>
      </c>
      <c r="AI53" s="229" t="s">
        <v>478</v>
      </c>
      <c r="AJ53" s="229" t="s">
        <v>529</v>
      </c>
      <c r="AK53" s="255" t="s">
        <v>568</v>
      </c>
      <c r="AL53" s="255" t="s">
        <v>624</v>
      </c>
      <c r="AM53" s="255" t="s">
        <v>676</v>
      </c>
      <c r="AN53" s="73">
        <f>AA53-1.2/1.2*(28174.41+3757+704/704*2238.5)*0-3/3*((24778*0+2013+1372+240+1934.06+363+4320+(3586+2118)+6622+599+338.8+1609+249)+336.26)*0-4/4*(15076.45-338.8)*0-5/5*(22467+4350+363+6584.38+(500+1500+1871)+1380+4030+5000+3555+(599+338.8*0*81/81)+25070)*0-6/6*(-(34270+31022.23+46151+2661.28)+22684+(11714.11+4258.75)+5348+11482+1804+3391.01)*0-7/7*(451+(3587.58+611.86)+363+(599+338.8*0*81/81)+44470)*0-8/8*(2930+600+363+994+3947+(2154.39+2260.58)+(599+338.8*0*81/81)+451+941)*0-9/9*(363+599+3705+78198+28822+1299+5485.95+1503+171+12657+203135)*0-10/10*43794.81*0-11/11*(1300.8-(49342-9200)-81/81*23413.01+(2613+22000*0*81/81+3036.84)+1/1*7635)*0</f>
        <v>-18428.089999999967</v>
      </c>
      <c r="AO53" s="328">
        <f>X53-AP53</f>
        <v>0</v>
      </c>
      <c r="AP53" s="93"/>
      <c r="AQ53" s="118"/>
      <c r="AR53" s="119">
        <f>AO53-1.2/1.2*0</f>
        <v>0</v>
      </c>
      <c r="AU53" s="141">
        <f>K53</f>
        <v>474762.01</v>
      </c>
      <c r="AV53" s="142"/>
      <c r="AW53" s="143">
        <f>AU53+AV53</f>
        <v>474762.01</v>
      </c>
      <c r="AX53" s="120"/>
      <c r="AY53" s="51"/>
      <c r="AZ53" s="144">
        <f>X53</f>
        <v>0</v>
      </c>
      <c r="BA53" s="142"/>
      <c r="BB53" s="145">
        <f>AZ53+BA53</f>
        <v>0</v>
      </c>
      <c r="BC53" s="146">
        <f>BB53-AW53</f>
        <v>-474762.01</v>
      </c>
    </row>
    <row r="54" spans="1:55" ht="15">
      <c r="A54" s="280" t="s">
        <v>466</v>
      </c>
      <c r="B54" s="280"/>
      <c r="C54" s="389"/>
      <c r="D54" s="389"/>
      <c r="E54" s="389"/>
      <c r="F54" s="389">
        <f>99/99*273.3</f>
        <v>273.3</v>
      </c>
      <c r="G54" s="389"/>
      <c r="H54" s="389"/>
      <c r="I54" s="389"/>
      <c r="J54" s="388">
        <f>SUM(C54:I54)</f>
        <v>273.3</v>
      </c>
      <c r="K54" s="93">
        <f>5/5*7741580-90/90*7468340.34-273239.66*0</f>
        <v>273239.66000000015</v>
      </c>
      <c r="L54" s="62">
        <f>K54/(J54*1000)</f>
        <v>0.9997792169776808</v>
      </c>
      <c r="O54" s="4"/>
      <c r="P54" s="390"/>
      <c r="Q54" s="389"/>
      <c r="R54" s="389"/>
      <c r="S54" s="389"/>
      <c r="T54" s="389"/>
      <c r="U54" s="389"/>
      <c r="V54" s="389"/>
      <c r="W54" s="390"/>
      <c r="X54" s="93"/>
      <c r="Y54" s="56"/>
      <c r="AA54" s="241"/>
      <c r="AB54" s="93">
        <f>5/5*7741580-90/90*7468340.34-273239.66*0</f>
        <v>273239.66000000015</v>
      </c>
      <c r="AC54" s="85"/>
      <c r="AD54" s="85"/>
      <c r="AE54" s="85"/>
      <c r="AF54" s="85"/>
      <c r="AG54" s="85" t="s">
        <v>164</v>
      </c>
      <c r="AH54" s="85"/>
      <c r="AI54" s="295"/>
      <c r="AJ54" s="295"/>
      <c r="AK54" s="390"/>
      <c r="AL54" s="390">
        <f>363+599+338.8</f>
        <v>1300.8</v>
      </c>
      <c r="AM54" s="390"/>
      <c r="AN54" s="241"/>
      <c r="AP54" s="93"/>
      <c r="AU54" s="141">
        <f>K54</f>
        <v>273239.66000000015</v>
      </c>
      <c r="AV54" s="161"/>
      <c r="AW54" s="143">
        <f>AU54+AV54</f>
        <v>273239.66000000015</v>
      </c>
      <c r="AX54" s="120"/>
      <c r="AY54" s="51"/>
      <c r="AZ54" s="144">
        <f>X54</f>
        <v>0</v>
      </c>
      <c r="BA54" s="142"/>
      <c r="BB54" s="145">
        <f>AZ54+BA54</f>
        <v>0</v>
      </c>
      <c r="BC54" s="146">
        <f>BB54-AW54</f>
        <v>-273239.66000000015</v>
      </c>
    </row>
    <row r="55" spans="1:56" ht="15">
      <c r="A55" s="32" t="s">
        <v>35</v>
      </c>
      <c r="B55" s="357"/>
      <c r="C55" s="398">
        <f>SUM(C53:C54)</f>
        <v>338</v>
      </c>
      <c r="D55" s="398">
        <f aca="true" t="shared" si="62" ref="D55:J55">SUM(D53:D54)</f>
        <v>0</v>
      </c>
      <c r="E55" s="398">
        <f>SUM(E53:E54)</f>
        <v>0</v>
      </c>
      <c r="F55" s="398">
        <f t="shared" si="62"/>
        <v>273.3</v>
      </c>
      <c r="G55" s="398">
        <f t="shared" si="62"/>
        <v>0</v>
      </c>
      <c r="H55" s="398">
        <f t="shared" si="62"/>
        <v>0</v>
      </c>
      <c r="I55" s="398">
        <f t="shared" si="62"/>
        <v>0</v>
      </c>
      <c r="J55" s="398">
        <f t="shared" si="62"/>
        <v>611.3</v>
      </c>
      <c r="K55" s="77">
        <f>SUM(K53:K54)</f>
        <v>748001.6700000002</v>
      </c>
      <c r="L55" s="234">
        <f aca="true" t="shared" si="63" ref="L55:L61">K55/(J55*1000)</f>
        <v>1.2236245215115331</v>
      </c>
      <c r="M55" s="77">
        <f>((1.2/1.2*0+3/3*338*0+4/4*21751.8*0+6/6*22225.1*0+11/11*22274.4-J55-90/90*J111-81/81*J110-84/84*J112-11/11*J140))*0*1607/1607+(1.2/1.2*443633.91*0+3/3*469000.31*0+4/4*484076.76*0+5/5*8303264.94*0+6/6*8363285.61*0+7/7*8413706.85*0+8/8*8429285.62*0+9/9*9322162.37*0+10/10*9393520.98*0+11/11*9430106.62*0+12/12*12306347.76-K55-90/90*K111-81/81*K110-84/84*K112-11/11*K140)</f>
        <v>0</v>
      </c>
      <c r="O55" s="4"/>
      <c r="P55" s="398">
        <f>SUM(P53:P54)</f>
        <v>0</v>
      </c>
      <c r="Q55" s="398">
        <f aca="true" t="shared" si="64" ref="Q55:W55">SUM(Q53:Q54)</f>
        <v>0</v>
      </c>
      <c r="R55" s="398">
        <f>SUM(R53:R54)</f>
        <v>0</v>
      </c>
      <c r="S55" s="398">
        <f t="shared" si="64"/>
        <v>0</v>
      </c>
      <c r="T55" s="398">
        <f t="shared" si="64"/>
        <v>0</v>
      </c>
      <c r="U55" s="398">
        <f t="shared" si="64"/>
        <v>0</v>
      </c>
      <c r="V55" s="398">
        <f t="shared" si="64"/>
        <v>0</v>
      </c>
      <c r="W55" s="398">
        <f t="shared" si="64"/>
        <v>0</v>
      </c>
      <c r="X55" s="77">
        <f>SUM(X53:X54)</f>
        <v>0</v>
      </c>
      <c r="Y55" s="234"/>
      <c r="Z55" s="274">
        <f>(4/4*12500*0+7/7*12700*0+11/11*12749.3-W55-90/90*W111-81/81*W110-84/84*W112-11/11*W140)+(4/4*0+7/7*200000*0+11/11*12749342-X55-90/90*X111-81/81*X110-84/84*X112-11/11*X140)</f>
        <v>-7.247535904753022E-13</v>
      </c>
      <c r="AA55" s="323">
        <f>SUM(AA53:AA54)</f>
        <v>-18428.089999999967</v>
      </c>
      <c r="AB55" s="77">
        <f>SUM(AB53:AB54)</f>
        <v>766429.7600000001</v>
      </c>
      <c r="AC55" s="179"/>
      <c r="AD55" s="179"/>
      <c r="AE55" s="179"/>
      <c r="AF55" s="179"/>
      <c r="AG55" s="179"/>
      <c r="AH55" s="179"/>
      <c r="AI55" s="296"/>
      <c r="AJ55" s="296"/>
      <c r="AK55" s="457"/>
      <c r="AL55" s="457"/>
      <c r="AM55" s="457"/>
      <c r="AN55" s="281">
        <f>SUM(AN53:AN54)</f>
        <v>-18428.089999999967</v>
      </c>
      <c r="AO55" s="180">
        <f>SUM(AO53:AO54)</f>
        <v>0</v>
      </c>
      <c r="AP55" s="77">
        <f>SUM(AP53:AP54)</f>
        <v>0</v>
      </c>
      <c r="AQ55" s="180"/>
      <c r="AR55" s="180">
        <f>SUM(AR53:AR54)</f>
        <v>0</v>
      </c>
      <c r="AU55" s="172">
        <f aca="true" t="shared" si="65" ref="AU55:BC55">SUM(AU53:AU54)</f>
        <v>748001.6700000002</v>
      </c>
      <c r="AV55" s="173">
        <f t="shared" si="65"/>
        <v>0</v>
      </c>
      <c r="AW55" s="174">
        <f t="shared" si="65"/>
        <v>748001.6700000002</v>
      </c>
      <c r="AX55" s="121"/>
      <c r="AY55" s="121"/>
      <c r="AZ55" s="175">
        <f t="shared" si="65"/>
        <v>0</v>
      </c>
      <c r="BA55" s="173"/>
      <c r="BB55" s="173">
        <f t="shared" si="65"/>
        <v>0</v>
      </c>
      <c r="BC55" s="176">
        <f t="shared" si="65"/>
        <v>-748001.6700000002</v>
      </c>
      <c r="BD55" s="197">
        <f>AZ55-X55</f>
        <v>0</v>
      </c>
    </row>
    <row r="56" spans="1:55" ht="19.5">
      <c r="A56" s="26" t="s">
        <v>108</v>
      </c>
      <c r="B56" s="348"/>
      <c r="C56" s="388">
        <f>6/6*1000</f>
        <v>1000</v>
      </c>
      <c r="D56" s="389"/>
      <c r="E56" s="389"/>
      <c r="F56" s="389">
        <f>99/99*6/6*(1070/1070*227+1081/1081*288)</f>
        <v>515</v>
      </c>
      <c r="G56" s="389"/>
      <c r="H56" s="389">
        <f>-1000+229.5+111.2+109.7</f>
        <v>-549.5999999999999</v>
      </c>
      <c r="I56" s="389">
        <v>564.9</v>
      </c>
      <c r="J56" s="388">
        <f>SUM(C56:I56)</f>
        <v>1530.3000000000002</v>
      </c>
      <c r="K56" s="93">
        <f>1.2/1.2*(18150*0+11/11*246150+8/8*21075*0+(9/9*(39225-18150)*0+12/12*21075)+804/804*(1070/1070*(6050+227073.25)+1081/1081*287902.5+9/9*1065/1065*229444+10/10*1075/1075*109718+11/11*(1062/1062*230370+1068/1068*111174+1074/1074*61314)+12/12*1080/1080*243074))</f>
        <v>1773344.75</v>
      </c>
      <c r="L56" s="62">
        <f t="shared" si="63"/>
        <v>1.1588216362804677</v>
      </c>
      <c r="M56" s="197">
        <f>8000-(8000*10/12+2.33)</f>
        <v>1331.003333333333</v>
      </c>
      <c r="O56" s="4"/>
      <c r="P56" s="388"/>
      <c r="Q56" s="389"/>
      <c r="R56" s="389"/>
      <c r="S56" s="389"/>
      <c r="T56" s="389"/>
      <c r="U56" s="389"/>
      <c r="V56" s="389"/>
      <c r="W56" s="388">
        <f>SUM(P56:V56)</f>
        <v>0</v>
      </c>
      <c r="X56" s="93"/>
      <c r="Y56" s="62"/>
      <c r="AA56" s="240">
        <f>K56-AB56</f>
        <v>243074</v>
      </c>
      <c r="AB56" s="93">
        <f>1.2/1.2*(18150*0+11/11*246150+8/8*21075*0+9/9*39225-18150+804/804*(1070/1070*(6050+227073.25)+1081/1081*287902.5+9/9*1065/1065*229444+10/10*1075/1075*109718+11/11*(1062/1062*230370+1068/1068*111174+1074/1074*61314)))</f>
        <v>1530270.75</v>
      </c>
      <c r="AC56" s="85" t="s">
        <v>152</v>
      </c>
      <c r="AD56" s="201" t="s">
        <v>216</v>
      </c>
      <c r="AE56" s="201"/>
      <c r="AF56" s="201"/>
      <c r="AG56" s="201"/>
      <c r="AH56" s="201"/>
      <c r="AI56" s="229" t="s">
        <v>468</v>
      </c>
      <c r="AJ56" s="229" t="s">
        <v>530</v>
      </c>
      <c r="AK56" s="255" t="s">
        <v>569</v>
      </c>
      <c r="AL56" s="255" t="s">
        <v>613</v>
      </c>
      <c r="AM56" s="255" t="s">
        <v>663</v>
      </c>
      <c r="AN56" s="73">
        <f>AA56-1/1*(18150+804/804*(6050+287902.5))*0-3/3*227073.25*0-8/8*3*7025*0-9/9*229444*0-10/10*109718*0-11/11*(230370+111174+61314+228000)*0-12/12*243074</f>
        <v>0</v>
      </c>
      <c r="AO56" s="328">
        <f>X56-AP56</f>
        <v>0</v>
      </c>
      <c r="AP56" s="93"/>
      <c r="AQ56" s="118"/>
      <c r="AR56" s="119">
        <f>AO56-1.2/1.2*0</f>
        <v>0</v>
      </c>
      <c r="AU56" s="141">
        <f>K56</f>
        <v>1773344.75</v>
      </c>
      <c r="AV56" s="473">
        <f>1.2/1.2*365737.33*0+3/3*763826.76*0+4/4*1226669.09*0+5/5*1550608.15*0+6/6*1692440.15*0+7/7*2110391.53*0+8/8*2393584.72*0+9/9*3045681.77*0+10/10*3653556.47*0+11/11*3808358.3*0+12/12*4527134.66*0+2017/2017*1.2/1.2*243909.55*0+3/3*612361.1*0+4/4*1195156.77*0+5/5*1504299.45*0+6/6*1676670*0+7/7*2157089.68*0+8/8*2833352.01*0+9/9*3538970.03*0+10/10*4222741*0+11/11*4451646.24*0+12/12*5171197.92</f>
        <v>5171197.92</v>
      </c>
      <c r="AW56" s="143">
        <f>AU56+AV56</f>
        <v>6944542.67</v>
      </c>
      <c r="AX56" s="190" t="s">
        <v>181</v>
      </c>
      <c r="AY56" s="51"/>
      <c r="AZ56" s="144">
        <f>X56</f>
        <v>0</v>
      </c>
      <c r="BA56" s="473">
        <f>1.2/1.2*3008358.84*0+3/3*4498703.27*0+4/4*5990344.44*0+5/5*7482450.61*0+6/6*8972120.71*0+7/7*10457068.88*0+8/8*11939626.05*0+9/9*13419026.17*0+10/10*(15305145.34*0+15296236.34)*0+11/11*16785482.51*0+12/12*18274921.71*0+2017/2017*1.2/1.2*2996556.72*0+3/3*4491445.84*0+4/4*5982651.01*0+5/5*7474456.18*0+6/6*8971047.15*0+7/7*10456876.32*0+8/8*11932531*0+9/9*13842262.28*0+10/10*15322253.7*0+11/11*16801473.12*0+12/12*(18270278.04*0+18267276.24)-5075632.74*0</f>
        <v>18267276.24</v>
      </c>
      <c r="BB56" s="145">
        <f>AZ56+BA56</f>
        <v>18267276.24</v>
      </c>
      <c r="BC56" s="146">
        <f>BB56-AW56</f>
        <v>11322733.569999998</v>
      </c>
    </row>
    <row r="57" spans="1:55" ht="19.5">
      <c r="A57" s="26" t="s">
        <v>59</v>
      </c>
      <c r="B57" s="348"/>
      <c r="C57" s="388">
        <v>8000</v>
      </c>
      <c r="D57" s="389"/>
      <c r="E57" s="389"/>
      <c r="F57" s="389"/>
      <c r="G57" s="389"/>
      <c r="H57" s="389"/>
      <c r="I57" s="389">
        <f>600+117.6</f>
        <v>717.6</v>
      </c>
      <c r="J57" s="388">
        <f>SUM(C57:I57)</f>
        <v>8717.6</v>
      </c>
      <c r="K57" s="93">
        <f>2.2/2.2*(1335000*0+3/3*2005000*0+4/4*2675000*0+5/5*3335000*0+6/6*4000000*0+7/7*4665000*0+8/8*5330000*0+10/10*6669000*0+11/11*7335000*0+12/12*(8000000+600000)+804/804*((63030*0+7/7*64773*0+11/11*66830*0+12/12*69795)+8/8*13044))+4/4*(320.65*0+5/5*38062.65)</f>
        <v>8720901.65</v>
      </c>
      <c r="L57" s="62">
        <f t="shared" si="63"/>
        <v>1.0003787338258237</v>
      </c>
      <c r="M57" s="197">
        <f>8000*10/12+2.33</f>
        <v>6668.996666666667</v>
      </c>
      <c r="O57" s="4"/>
      <c r="P57" s="388"/>
      <c r="Q57" s="389"/>
      <c r="R57" s="389"/>
      <c r="S57" s="389"/>
      <c r="T57" s="389"/>
      <c r="U57" s="389"/>
      <c r="V57" s="389"/>
      <c r="W57" s="388">
        <f>SUM(P57:V57)</f>
        <v>0</v>
      </c>
      <c r="X57" s="93"/>
      <c r="Y57" s="62"/>
      <c r="AA57" s="240">
        <f>K57-AB57</f>
        <v>1267965</v>
      </c>
      <c r="AB57" s="93">
        <f>2.2/2.2*(1335000*0+3/3*2005000*0+4/4*2675000*0+5/5*3335000*0+6/6*4000000*0+7/7*4665000*0+8/8*5330000*0+10/10*6669000*0+11/11*7335000+804/804*((63030*0+7/7*64773*0+11/11*66830)+8/8*13044))+4/4*(320.65*0+5/5*38062.65)</f>
        <v>7452936.65</v>
      </c>
      <c r="AC57" s="85" t="s">
        <v>151</v>
      </c>
      <c r="AD57" s="201" t="s">
        <v>215</v>
      </c>
      <c r="AE57" s="201" t="s">
        <v>262</v>
      </c>
      <c r="AF57" s="201" t="s">
        <v>310</v>
      </c>
      <c r="AG57" s="201" t="s">
        <v>362</v>
      </c>
      <c r="AH57" s="201" t="s">
        <v>417</v>
      </c>
      <c r="AI57" s="229" t="s">
        <v>469</v>
      </c>
      <c r="AJ57" s="229"/>
      <c r="AK57" s="255" t="s">
        <v>570</v>
      </c>
      <c r="AL57" s="255" t="s">
        <v>612</v>
      </c>
      <c r="AM57" s="255" t="s">
        <v>677</v>
      </c>
      <c r="AN57" s="73">
        <f>AA57-2/2*(1335000+804/804*63030)*0-3/3*(8000000/12+3333.3333)*0-4/4*((8000000/12+3333.3333)+320.65)*0-5/5*(660000+37742)*0-6/6*665000*(7/7*0+8/8*0+(9/9+10/10)*0)-7/7*1743*0-8/8*13044*0-10/10*9000*0-11/11*(666000+2057)*0-12/12*(665000+600000+2965)</f>
        <v>0</v>
      </c>
      <c r="AO57" s="328">
        <f>X57-AP57</f>
        <v>0</v>
      </c>
      <c r="AP57" s="93"/>
      <c r="AQ57" s="118"/>
      <c r="AR57" s="119">
        <f>AO57-1.2/1.2*0</f>
        <v>0</v>
      </c>
      <c r="AU57" s="141">
        <f>K57</f>
        <v>8720901.65</v>
      </c>
      <c r="AV57" s="142"/>
      <c r="AW57" s="143">
        <f>AU57+AV57</f>
        <v>8720901.65</v>
      </c>
      <c r="AX57" s="120"/>
      <c r="AY57" s="51"/>
      <c r="AZ57" s="144">
        <f>X57</f>
        <v>0</v>
      </c>
      <c r="BA57" s="142"/>
      <c r="BB57" s="145">
        <f>AZ57+BA57</f>
        <v>0</v>
      </c>
      <c r="BC57" s="146">
        <f>BB57-AW57</f>
        <v>-8720901.65</v>
      </c>
    </row>
    <row r="58" spans="1:55" ht="12.75">
      <c r="A58" s="26" t="s">
        <v>58</v>
      </c>
      <c r="B58" s="348"/>
      <c r="C58" s="388">
        <f>6/6*500</f>
        <v>500</v>
      </c>
      <c r="D58" s="389"/>
      <c r="E58" s="389"/>
      <c r="F58" s="389"/>
      <c r="G58" s="389"/>
      <c r="H58" s="389">
        <v>-500</v>
      </c>
      <c r="I58" s="389">
        <v>7.7</v>
      </c>
      <c r="J58" s="388">
        <f>SUM(C58:I58)</f>
        <v>7.7</v>
      </c>
      <c r="K58" s="93">
        <f>805/805*5550*0+3/3*11100+804/804*6/6*7700+12/12*8798</f>
        <v>27598</v>
      </c>
      <c r="L58" s="62">
        <f t="shared" si="63"/>
        <v>3.5841558441558443</v>
      </c>
      <c r="M58" s="197">
        <f>(804/804*(63030*0+7/7*64773+8/8*13044)+4/4*(320.65*0+5/5*38062.65))/1000+M57</f>
        <v>6784.876316666667</v>
      </c>
      <c r="O58" s="4"/>
      <c r="P58" s="388"/>
      <c r="Q58" s="389"/>
      <c r="R58" s="389"/>
      <c r="S58" s="389"/>
      <c r="T58" s="389"/>
      <c r="U58" s="389"/>
      <c r="V58" s="389"/>
      <c r="W58" s="388">
        <f>SUM(P58:V58)</f>
        <v>0</v>
      </c>
      <c r="X58" s="93"/>
      <c r="Y58" s="62"/>
      <c r="AA58" s="240">
        <f>K58-AB58</f>
        <v>8798</v>
      </c>
      <c r="AB58" s="93">
        <f>805/805*5550*0+3/3*11100+804/804*6/6*7700</f>
        <v>18800</v>
      </c>
      <c r="AC58" s="85" t="s">
        <v>153</v>
      </c>
      <c r="AD58" s="201" t="s">
        <v>217</v>
      </c>
      <c r="AE58" s="201"/>
      <c r="AF58" s="201"/>
      <c r="AG58" s="201" t="s">
        <v>361</v>
      </c>
      <c r="AH58" s="201"/>
      <c r="AI58" s="229"/>
      <c r="AJ58" s="229"/>
      <c r="AK58" s="255"/>
      <c r="AL58" s="255">
        <f>1165/1165*(81600*(6/6+7/7+10/10)+(8/8+9/9)*84320)-492320</f>
        <v>-78880</v>
      </c>
      <c r="AM58" s="255" t="s">
        <v>662</v>
      </c>
      <c r="AN58" s="73">
        <f>AA58-2/2*5550*0-3/3*5550*0-6/6*7700*0-12/12*8798</f>
        <v>0</v>
      </c>
      <c r="AO58" s="328">
        <f>X58-AP58</f>
        <v>0</v>
      </c>
      <c r="AP58" s="93"/>
      <c r="AQ58" s="118"/>
      <c r="AR58" s="119">
        <f>AO58-1.2/1.2*0</f>
        <v>0</v>
      </c>
      <c r="AU58" s="141">
        <f>K58</f>
        <v>27598</v>
      </c>
      <c r="AV58" s="142"/>
      <c r="AW58" s="143">
        <f>AU58+AV58</f>
        <v>27598</v>
      </c>
      <c r="AX58" s="120"/>
      <c r="AY58" s="51"/>
      <c r="AZ58" s="144">
        <f>X58</f>
        <v>0</v>
      </c>
      <c r="BA58" s="142"/>
      <c r="BB58" s="145">
        <f>AZ58+BA58</f>
        <v>0</v>
      </c>
      <c r="BC58" s="146">
        <f>BB58-AW58</f>
        <v>-27598</v>
      </c>
    </row>
    <row r="59" spans="1:56" ht="15">
      <c r="A59" s="33" t="s">
        <v>27</v>
      </c>
      <c r="B59" s="358"/>
      <c r="C59" s="180">
        <f>SUM(C56:C58)</f>
        <v>9500</v>
      </c>
      <c r="D59" s="180">
        <f aca="true" t="shared" si="66" ref="D59:J59">SUM(D56:D58)</f>
        <v>0</v>
      </c>
      <c r="E59" s="180">
        <f>SUM(E56:E58)</f>
        <v>0</v>
      </c>
      <c r="F59" s="180">
        <f t="shared" si="66"/>
        <v>515</v>
      </c>
      <c r="G59" s="180">
        <f t="shared" si="66"/>
        <v>0</v>
      </c>
      <c r="H59" s="180">
        <f t="shared" si="66"/>
        <v>-1049.6</v>
      </c>
      <c r="I59" s="180">
        <f t="shared" si="66"/>
        <v>1290.2</v>
      </c>
      <c r="J59" s="180">
        <f t="shared" si="66"/>
        <v>10255.600000000002</v>
      </c>
      <c r="K59" s="78">
        <f>SUM(K56:K58)</f>
        <v>10521844.4</v>
      </c>
      <c r="L59" s="474">
        <f t="shared" si="63"/>
        <v>1.0259608799095128</v>
      </c>
      <c r="M59" s="78">
        <f>(1.2/1.2*0+3/3*9500*0+6/6*10015*0+12/12*10255.6-J59)+(1.2/1.2*1715682.5*0+3/3*2618305.75*0+4/4*3288626.4*0+5/5*3986368.4*0+6/6*4659068.4*0+7/7*5325811.4*0+8/8*6024930.4*0+9/9*6254374.4*0+10/10*7703092.4*0+11/11*9002007.4*0+12/12*10521844.4-K59)</f>
        <v>-1.8189894035458565E-12</v>
      </c>
      <c r="O59" s="4"/>
      <c r="P59" s="180">
        <f>SUM(P56:P58)</f>
        <v>0</v>
      </c>
      <c r="Q59" s="180">
        <f aca="true" t="shared" si="67" ref="Q59:W59">SUM(Q56:Q58)</f>
        <v>0</v>
      </c>
      <c r="R59" s="180">
        <f>SUM(R56:R58)</f>
        <v>0</v>
      </c>
      <c r="S59" s="180">
        <f t="shared" si="67"/>
        <v>0</v>
      </c>
      <c r="T59" s="180">
        <f t="shared" si="67"/>
        <v>0</v>
      </c>
      <c r="U59" s="180">
        <f t="shared" si="67"/>
        <v>0</v>
      </c>
      <c r="V59" s="180">
        <f t="shared" si="67"/>
        <v>0</v>
      </c>
      <c r="W59" s="180">
        <f t="shared" si="67"/>
        <v>0</v>
      </c>
      <c r="X59" s="78">
        <f>SUM(X56:X58)</f>
        <v>0</v>
      </c>
      <c r="Y59" s="324"/>
      <c r="AA59" s="325">
        <f>SUM(AA56:AA58)</f>
        <v>1519837</v>
      </c>
      <c r="AB59" s="78">
        <f>SUM(AB56:AB58)</f>
        <v>9002007.4</v>
      </c>
      <c r="AC59" s="179"/>
      <c r="AD59" s="179">
        <f>-247562+3/3*493002</f>
        <v>245440</v>
      </c>
      <c r="AE59" s="179"/>
      <c r="AF59" s="179"/>
      <c r="AG59" s="179"/>
      <c r="AH59" s="179">
        <f>(1144781+1696247)*0+(1144781-12986-3794+1696247)*(0.09*0+0.25*0+0.0042)</f>
        <v>11861.8416</v>
      </c>
      <c r="AI59" s="296"/>
      <c r="AJ59" s="296"/>
      <c r="AK59" s="457"/>
      <c r="AL59" s="457"/>
      <c r="AM59" s="457"/>
      <c r="AN59" s="281">
        <f>SUM(AN56:AN58)</f>
        <v>0</v>
      </c>
      <c r="AO59" s="180">
        <f>SUM(AO56:AO58)</f>
        <v>0</v>
      </c>
      <c r="AP59" s="78">
        <f>SUM(AP56:AP58)</f>
        <v>0</v>
      </c>
      <c r="AQ59" s="180"/>
      <c r="AR59" s="180">
        <f>SUM(AR56:AR58)</f>
        <v>0</v>
      </c>
      <c r="AU59" s="172">
        <f aca="true" t="shared" si="68" ref="AU59:BC59">SUM(AU56:AU58)</f>
        <v>10521844.4</v>
      </c>
      <c r="AV59" s="173"/>
      <c r="AW59" s="174">
        <f t="shared" si="68"/>
        <v>15693042.32</v>
      </c>
      <c r="AX59" s="121"/>
      <c r="AY59" s="121"/>
      <c r="AZ59" s="175">
        <f t="shared" si="68"/>
        <v>0</v>
      </c>
      <c r="BA59" s="173"/>
      <c r="BB59" s="173">
        <f t="shared" si="68"/>
        <v>18267276.24</v>
      </c>
      <c r="BC59" s="176">
        <f t="shared" si="68"/>
        <v>2574233.919999998</v>
      </c>
      <c r="BD59" s="197">
        <f>AZ59-X59</f>
        <v>0</v>
      </c>
    </row>
    <row r="60" spans="1:56" ht="21.75" customHeight="1">
      <c r="A60" s="26" t="s">
        <v>28</v>
      </c>
      <c r="B60" s="348"/>
      <c r="C60" s="388">
        <f>184.996*12+275+0.048-2495+2584+30+50</f>
        <v>2664</v>
      </c>
      <c r="D60" s="389"/>
      <c r="E60" s="389"/>
      <c r="F60" s="389"/>
      <c r="G60" s="389">
        <f>1165/1165*150</f>
        <v>150</v>
      </c>
      <c r="H60" s="389"/>
      <c r="I60" s="389">
        <v>454.1</v>
      </c>
      <c r="J60" s="388">
        <f aca="true" t="shared" si="69" ref="J60:J71">SUM(C60:I60)</f>
        <v>3268.1</v>
      </c>
      <c r="K60" s="93">
        <f>1.2/1.2*(903/903*247562*0+3/3*493002*0+4/4*876408*0+5/5*1121848*0+6/6*1367288*0+7/7*1828787*0+8/8*2053385*0+2298825*0+10/10*2671108*0+11/11*2928788*0+12/12*3367674+910/910*4264*0+3/3*(46289*0+4/4*62788*0+5/5*82418*0+6/6*(86803*0+84029)*0+7/7*87932*0+8/8*89114*0+9/9*91849*0+10/10*101935*0+11/11*115779*0+12/12*123361+1/1*136+107/107*(2465*0+5239*0+9/9*8361*0+10/10*9252*0+12/12*9757)))+396817/396817*5000+1165/1165*(81600*(6/6+7/7+10/10)+(8/8+9/9)*84320+11/11*78880+247520*0)+10/10*6114/6114*3315-3112/3112*8465</f>
        <v>3993098</v>
      </c>
      <c r="L60" s="213">
        <f t="shared" si="63"/>
        <v>1.2218408249441572</v>
      </c>
      <c r="M60" s="377">
        <f>3367674+910/910*(119896+1/1*136+107/107*9757+1165/1165*492320+6114/6114*3315)-K60</f>
        <v>0</v>
      </c>
      <c r="N60" s="215"/>
      <c r="O60" s="216" t="s">
        <v>482</v>
      </c>
      <c r="P60" s="427">
        <v>10</v>
      </c>
      <c r="Q60" s="428"/>
      <c r="R60" s="428"/>
      <c r="S60" s="428"/>
      <c r="T60" s="428"/>
      <c r="U60" s="428"/>
      <c r="V60" s="428"/>
      <c r="W60" s="427">
        <f aca="true" t="shared" si="70" ref="W60:W71">SUM(P60:V60)</f>
        <v>10</v>
      </c>
      <c r="X60" s="93">
        <f>3/3*1534.3*0+6/6*2625.43*0+9/9*(3723.57*0+12/12*6006.99+1222/1222*4.13*0)</f>
        <v>6006.99</v>
      </c>
      <c r="Y60" s="213">
        <f>X60/(W60*1000)</f>
        <v>0.600699</v>
      </c>
      <c r="Z60" s="263"/>
      <c r="AA60" s="237">
        <f aca="true" t="shared" si="71" ref="AA60:AA71">K60-AB60</f>
        <v>438508</v>
      </c>
      <c r="AB60" s="93">
        <f>1.2/1.2*(903/903*247562*0+3/3*493002*0+4/4*876408*0+5/5*1121848*0+6/6*1367288*0+7/7*1828787*0+8/8*2053385*0+2298825*0+10/10*2671108*0+11/11*2928788+910/910*4264*0+3/3*(46289*0+4/4*62788*0+5/5*82418*0+6/6*(86803*0+84029)*0+7/7*87932*0+8/8*89114*0+9/9*91849*0+10/10*101935*0+11/11*115779+1/1*136+107/107*(2465*0+5239*0+9/9*8361*0+10/10*9252)))+396817/396817*5000+1165/1165*(81600*(6/6+7/7+10/10)+(8/8+9/9)*84320+11/11*78880+247520*0)+10/10*6114/6114*3315</f>
        <v>3554590</v>
      </c>
      <c r="AC60" s="85" t="s">
        <v>161</v>
      </c>
      <c r="AD60" s="201" t="s">
        <v>211</v>
      </c>
      <c r="AE60" s="201" t="s">
        <v>266</v>
      </c>
      <c r="AF60" s="201" t="s">
        <v>311</v>
      </c>
      <c r="AG60" s="201" t="s">
        <v>382</v>
      </c>
      <c r="AH60" s="235" t="s">
        <v>429</v>
      </c>
      <c r="AI60" s="299" t="s">
        <v>475</v>
      </c>
      <c r="AJ60" s="299" t="s">
        <v>538</v>
      </c>
      <c r="AK60" s="464" t="s">
        <v>575</v>
      </c>
      <c r="AL60" s="464" t="s">
        <v>693</v>
      </c>
      <c r="AM60" s="464" t="s">
        <v>674</v>
      </c>
      <c r="AN60" s="73">
        <f>AA60-2/2*(903/903*(192418+35702+17320+2122)+910/910*4264)*0-3/3*(245440+(18950+136)+8128+9500+715+914+5000-1182+2465)*0-4/4*(383406+16499)*0-5/5*(245440+((931+1143+50)+400*0-400+17906))*0-6/6*(245440+4385+81600)*0-7/7*((355518+71577+32001+2403)+(1377+1012)+81600+(797+717))*0-8/8*((176865+31813+15920)+1182+(84320))*0-9/9*((192418+35702+17320)+1200+620+210+705+3122+84320)*0-10/10*(372283+10086+891+81600+3315)*0-11/11*(257680+(12000+1844)+78880)*0-12/12*(438886+7582+505)</f>
        <v>-8465</v>
      </c>
      <c r="AO60" s="328">
        <f aca="true" t="shared" si="72" ref="AO60:AO71">X60-AP60</f>
        <v>2283.4199999999996</v>
      </c>
      <c r="AP60" s="343">
        <f>3/3*1534.3*0+6/6*2625.43*0+9/9*(3723.57+1222/1222*4.13*0)</f>
        <v>3723.57</v>
      </c>
      <c r="AQ60" s="118" t="s">
        <v>640</v>
      </c>
      <c r="AR60" s="119">
        <f>AO60-1.2/1.2*0-3/3*1534.3*0-6/6*1091.13*0-7/7*4.13*0-9/9*1094.01*0+1222/1222*4.13*0-12/12*2283.42</f>
        <v>0</v>
      </c>
      <c r="AU60" s="141">
        <f aca="true" t="shared" si="73" ref="AU60:AU72">K60</f>
        <v>3993098</v>
      </c>
      <c r="AV60" s="142"/>
      <c r="AW60" s="143">
        <f aca="true" t="shared" si="74" ref="AW60:AW72">AU60+AV60</f>
        <v>3993098</v>
      </c>
      <c r="AX60" s="120"/>
      <c r="AY60" s="181" t="s">
        <v>2</v>
      </c>
      <c r="AZ60" s="144">
        <f aca="true" t="shared" si="75" ref="AZ60:AZ72">X60</f>
        <v>6006.99</v>
      </c>
      <c r="BA60" s="142"/>
      <c r="BB60" s="145">
        <f aca="true" t="shared" si="76" ref="BB60:BB71">AZ60+BA60</f>
        <v>6006.99</v>
      </c>
      <c r="BC60" s="146">
        <f aca="true" t="shared" si="77" ref="BC60:BC71">BB60-AW60</f>
        <v>-3987091.01</v>
      </c>
      <c r="BD60" s="369">
        <f>AZ60-X60</f>
        <v>0</v>
      </c>
    </row>
    <row r="61" spans="1:56" ht="116.25">
      <c r="A61" s="26" t="s">
        <v>55</v>
      </c>
      <c r="B61" s="348"/>
      <c r="C61" s="388">
        <f>(42110.1+0.9)+107/107*1014-C67-C68-C69-C70-C71-SUM(C62:C66)</f>
        <v>39125</v>
      </c>
      <c r="D61" s="389"/>
      <c r="E61" s="389">
        <f>21.5+264.5+356+34</f>
        <v>676</v>
      </c>
      <c r="F61" s="389"/>
      <c r="G61" s="389"/>
      <c r="H61" s="389"/>
      <c r="I61" s="389">
        <f>3148.9</f>
        <v>3148.9</v>
      </c>
      <c r="J61" s="388">
        <f t="shared" si="69"/>
        <v>42949.9</v>
      </c>
      <c r="K61" s="93">
        <f>(901/901*((11/11*605295.71*0+12/12*801397.61+506/506*(11/11*28246.8)+44875/44875*10043-81/81*K101-13011/13011*(6000*0+12249.62)-13015/13015*(8/8*3319.25*0+12/12*5535.76))+16/16*(11/11*679956.83*0+12/12*751520.84)+(21/21*(380*0+5/5*20142)+732/732*770+1100/1100*2010)+40603/40603*9208-899757.42*0)+(902/902*11/11*509525.14*0+12/12*583958.27+2323/2323*(8016*0+12/12*9091)-364761.01*0)+903/903*((11/11*26679178.08*0+12/12*32165762.88+28000)-(SUM(K62:K66,K132,K134)-901/901*6000*0-905/905*(9/9*49544.71*0+11/11*122076.71*0))+3/3*(11/11*1008244*0+12/12*1169849)+4137/4137*(10/10*92360*0+12/12*124541*0)+2014/2014*600+2015/2015*10/10*7040*0+11/11*8960+2016/2016*(11/11*73680*0+12/12*75560)-2122142.71*0)+904/904*((11/11*2567918.9*0+12/12*3243965.31-6121/6121*(11/11*235200*0+12/12*443670)-6122/6122*119219-6123/6123*279366.62-6130/6130*194810*0+1/1*(10/10*461359*0+12/12*607372))-1751891.12*0)+905/905*((11/11*151491.21*0+12/12*161355.17-13011/13011*(8/8*(9/9*4321.5+74835.63+8477.4+1673.75+23310+85+9/9*14053+10/10*1200)+11/11*122076.71*0))-13105/13105*(K134*0+0+(10/10*860+3015*0+9/9*4215)*0+664.08+453.8+196.01+4215+2737)-18847*0+13010/13010*(10/10*-(929.5+5490)+11/11*8620.5*0))+906/906*(11/11*177312.35*0+12/12*185720.35)+907/907*((8/8*9008*0+9/9*9084*0+10/10*15360*0+11/11*18036+21/21*530.28-9084*0)-713217.03*0))+910/910*(((7/7*(3937332.97-61/61*(452492.6+461646))*0+10/10*5324703.05*0+12/12*6270709.42-61/61*1207498.6+23/23*(4441*0+8/8*8740)+1/1*136*6171/6171*0*9/9-3194342.17*0)))+3009/3009*41153.55*0+3110/3110*5671.26+3011/3011*-2203.89+3112/3112*269488.35</f>
        <v>12577246.379999962</v>
      </c>
      <c r="L61" s="213">
        <f t="shared" si="63"/>
        <v>0.29283528902279077</v>
      </c>
      <c r="M61" s="214">
        <f>452491.6+213200+541807</f>
        <v>1207498.6</v>
      </c>
      <c r="N61" s="215"/>
      <c r="O61" s="286" t="s">
        <v>481</v>
      </c>
      <c r="P61" s="427">
        <f>(2016/2016*16405*0+2017/2017*17400+5*29)</f>
        <v>17545</v>
      </c>
      <c r="Q61" s="428"/>
      <c r="R61" s="428"/>
      <c r="S61" s="428"/>
      <c r="T61" s="428"/>
      <c r="U61" s="428"/>
      <c r="V61" s="428"/>
      <c r="W61" s="427">
        <f t="shared" si="70"/>
        <v>17545</v>
      </c>
      <c r="X61" s="199">
        <f>W61*1000/12*12-83.3333333*11*0</f>
        <v>17545000</v>
      </c>
      <c r="Y61" s="213">
        <f>X61/(W61*1000)</f>
        <v>1</v>
      </c>
      <c r="Z61" s="214">
        <f>X61+X77</f>
        <v>58789000.00000001</v>
      </c>
      <c r="AA61" s="237">
        <f t="shared" si="71"/>
        <v>1027617.2500000019</v>
      </c>
      <c r="AB61" s="93">
        <f>(901/901*((11/11*605295.71+506/506*(11/11*28246.8)+44875/44875*10043-81/81*AB101-13011/13011*6000-13015/13015*8/8*3319.25)+16/16*(10/10*617729.64*0+11/11*679956.83)+(21/21*(380*0+5/5*20142)+732/732*770+1100/1100*2010)+40603/40603*9208-899757.42*0)+(902/902*10/10*499597.43*0+11/11*509525.14+2323/2323*9/9*7806*0+10/10*8016-364761.01*0)+903/903*((10/10*23494758.77*0+11/11*26679178.08)-(SUM(AB62:AB66,AB132,AB134)-901/901*6000-905/905*(9/9*49544.71*0+11/11*122076.71))+3/3*(10/10*906525*0+11/11*1008244)+4137/4137*(9/9*79067*0+10/10*92360)+2014/2014*600+2015/2015*10/10*7040*0+11/11*8960+2016/2016*(10/10*69380*0+11/11*73680)-2122142.71*0)+904/904*((10/10*2063354.74*0+11/11*2567918.9-6121/6121*90000*0+11/11*235200-6122/6122*119219-6130/6130*194810*0+1/1*(9/9*393149*0+10/10*461359))-1751891.12*0)+905/905*((10/10*146789.53*0+11/11*151491.21-13011/13011*(8/8*(9/9*4321.5+8418.4*0+10/10*76011.41+5300+821.79*0+9/9*956.81+13600*0+9/9*15210*0+10/10*18510+85+9/9*14053+10/10*1200)*0+11/11*122076.71))-13105/13105*(AB134*0+0+(10/10*860+3015*0+9/9*4215)+2737)-18847*0+13010/13010*(10/10*(929.5+5490)*0+11/11*8620.5))+906/906*(7/7*103695.9*0+8/8*121136.9*0+9/9*135133.9*0+10/10*168323.35*0+11/11*177312.35)+907/907*((8/8*9008*0+9/9*9084*0+10/10*15360*0+11/11*18036-9084*0)-713217.03*0))+910/910*(((7/7*(3937332.97-61/61*(452492.6+461646))*0+8/8*4392964.77*0+9/9*4908739.49*0+10/10*5324703.05-61/61*1207498.6+23/23*(4441*0+8/8*8740)+1/1*136*6171/6171*0*9/9-3194342.17*0)))+3107/3107*-332086*0+3108/3108*(87130.25-87047)*0+3009/3009*41153.55*0+3110/3110*5671.26+3011/3011*-2203.89</f>
        <v>11549629.12999996</v>
      </c>
      <c r="AC61" s="85" t="s">
        <v>232</v>
      </c>
      <c r="AD61" s="201" t="s">
        <v>313</v>
      </c>
      <c r="AE61" s="201" t="s">
        <v>285</v>
      </c>
      <c r="AF61" s="236" t="s">
        <v>366</v>
      </c>
      <c r="AG61" s="203" t="s">
        <v>383</v>
      </c>
      <c r="AH61" s="229" t="s">
        <v>470</v>
      </c>
      <c r="AI61" s="229" t="s">
        <v>539</v>
      </c>
      <c r="AJ61" s="229" t="s">
        <v>540</v>
      </c>
      <c r="AK61" s="201" t="s">
        <v>694</v>
      </c>
      <c r="AL61" s="255" t="s">
        <v>695</v>
      </c>
      <c r="AM61" s="255" t="s">
        <v>696</v>
      </c>
      <c r="AN61" s="330">
        <f>AA61-(8/8*((901/901*(20419.8+72874.93-93294.73))+902/902*((265+874.83)+7684.71+4150+(1850+2*2200)+13938-33162.54)+903/903*(1697112.3*0+1746590.49+1720-2122142.71)+905/905*(18847-18847)+906/906*(9257+1850+2*1590+2904+250)+907/907*1850)+3108/3108*433681.47+1310/1310*(-9/9*5920786.78+191622.52)-9/9*(1/1*(3150+850+10533.84+12261.34+1700+4800+17800+3861.5+64760.74)+2/2*(50000+7684.71+1984+2541+216-(760-14)+2904)+6/6*(7200+3180+2223+1080+300+64-50)+3/3*(2568761+3/3*108050+12450)+4/4*(196533.03+124425)+5/5*0-(11323.5+13015/13015*1200))+3009/3009*0+3110/3110*(3004371.14+340833.32)-10/10*(1/1*(93245.3+3013.8+16/16*74215.62)+2/2*(78058.71+210)+3/3*(2680897.81+123790+(2720+10950)+13293+4/4*188844.59)+68210+5/5*(31357.79-(860+929.5+5490+67593.01)-27849.47)+6/6*33189.45+7/7*6276)*0-3110/3110*340833.32-11/11*((1/1*48449.54+10446.8+62227.19)+2/2*9927.71+3/3*(3184419.31-76310.68-31479+3/3*101719+6220)+4/4*896417.16+5/5*(6902.68-1638.99)+6/6*8989+7/7*2676))*0+3011/3011*414627.29-12/12*((196101.9-81/81*57320+71564.01-8466.13)+2/2*74433.13+1075+3/3*117062.05+28000+161605+1880+32181+4/4*205646.41-208470-279366.62+146013+6/6*8408+10/10*946006.37)+6000+122076.71+124541+905/905*-9863.96+(127956.28-122076.71)+453.89+15040-530.28</f>
        <v>269488.3500000018</v>
      </c>
      <c r="AO61" s="328">
        <f>X61-AP61</f>
        <v>1462999.999999633</v>
      </c>
      <c r="AP61" s="199">
        <f>W61*1000/12*11-83.3333333*11</f>
        <v>16082000.000000367</v>
      </c>
      <c r="AQ61" s="118" t="s">
        <v>638</v>
      </c>
      <c r="AR61" s="119">
        <f>AO61-1.2/1.2*(17545000/12-83.3333*0)*(2*0+3/3*0+4/4*0+5/5*0+6/6*0+7/7*0+8/8*0+9/9*0+10/10*0+11/11*0+12/12)-(1000-83.3333)</f>
        <v>-3.370019680914993E-05</v>
      </c>
      <c r="AU61" s="141">
        <f t="shared" si="73"/>
        <v>12577246.379999962</v>
      </c>
      <c r="AV61" s="463">
        <f>12/12*13300*0+2017/2017*1.2/1.2*9100</f>
        <v>9100</v>
      </c>
      <c r="AW61" s="143">
        <f t="shared" si="74"/>
        <v>12586346.379999962</v>
      </c>
      <c r="AX61" s="189" t="s">
        <v>182</v>
      </c>
      <c r="AY61" s="184" t="s">
        <v>109</v>
      </c>
      <c r="AZ61" s="144">
        <f t="shared" si="75"/>
        <v>17545000</v>
      </c>
      <c r="BA61" s="463">
        <f>1.2/1.2*2739.24*0+3/3*3043.6*0+4/4*3652.32*0+8/8*3956.68*0+9/9*4261.04*0+10/10*9435.16*0+11/11*10652.6*0+12/12*11565.68*0+2017/2017*1.2/1.2*608.72*0+3/3*913.08*0+4/4*2130.52*0+5/5*2434.88*0+6/6*2739.24*0+7/7*3347.96*0+8/8*3652.32*0+9/9*3956.68*0+10/10*7609*0+11/11*7913.36</f>
        <v>7913.36</v>
      </c>
      <c r="BB61" s="145">
        <f t="shared" si="76"/>
        <v>17552913.36</v>
      </c>
      <c r="BC61" s="146">
        <f t="shared" si="77"/>
        <v>4966566.980000038</v>
      </c>
      <c r="BD61" s="369">
        <f>AZ61-X61</f>
        <v>0</v>
      </c>
    </row>
    <row r="62" spans="1:55" ht="19.5">
      <c r="A62" s="26" t="s">
        <v>33</v>
      </c>
      <c r="B62" s="348"/>
      <c r="C62" s="388"/>
      <c r="D62" s="389"/>
      <c r="E62" s="389"/>
      <c r="F62" s="389"/>
      <c r="G62" s="389"/>
      <c r="H62" s="389"/>
      <c r="I62" s="389"/>
      <c r="J62" s="388">
        <f t="shared" si="69"/>
        <v>0</v>
      </c>
      <c r="K62" s="93">
        <f>1/1*106788*(1+0.09+0.25+0.0042)-40.92-132-1.5096-143370*0+2/2*112762*(1+0.09+0.25+0.0042)+0.42+0.5-16.6004-294929</f>
        <v>0</v>
      </c>
      <c r="L62" s="218"/>
      <c r="M62" s="214">
        <f>6112/6112*(2465+2000+8825+3250+2000+26705+76661+20270+50000+5000-197176*0)+6171/6171*(5879+6655+2300)</f>
        <v>212010</v>
      </c>
      <c r="N62" s="215"/>
      <c r="O62" s="217"/>
      <c r="P62" s="427"/>
      <c r="Q62" s="428"/>
      <c r="R62" s="428"/>
      <c r="S62" s="428"/>
      <c r="T62" s="428"/>
      <c r="U62" s="428"/>
      <c r="V62" s="428"/>
      <c r="W62" s="427">
        <f t="shared" si="70"/>
        <v>0</v>
      </c>
      <c r="X62" s="199"/>
      <c r="Y62" s="275"/>
      <c r="Z62" s="263"/>
      <c r="AA62" s="237">
        <f t="shared" si="71"/>
        <v>0</v>
      </c>
      <c r="AB62" s="93">
        <f>1/1*106788*(1+0.09+0.25+0.0042)-40.92-132-1.5096-143370*0+2/2*112762*(1+0.09+0.25+0.0042)+0.42+0.5-16.6004-294929</f>
        <v>0</v>
      </c>
      <c r="AC62" s="85" t="s">
        <v>165</v>
      </c>
      <c r="AD62" s="202" t="s">
        <v>220</v>
      </c>
      <c r="AE62" s="226" t="s">
        <v>271</v>
      </c>
      <c r="AF62" s="226">
        <f>902/902*(-199592.05+5/5*257005.76)*0+904/904*(-789946.98+5/5*926180.54)</f>
        <v>136233.56000000006</v>
      </c>
      <c r="AG62" s="201">
        <f>(-5/5*288046.97+6/6*332752.87)*0+16/16*(-5/5*335797.02+6/6*405878.35)*0+902/902*(-5/5*254777.76+6/6*264511.76)*0+2323/2323*(-2228+6/6*4902)*0+903/903*(-5/5*10135773.74+6/6*12758631.86)*0+3/3*(-5/5*411299+6/6*442609)*0+904/904*(-5/5*926180.54+6/6*1204143.61)*0+1/1*(-5/5*138808+6/6*264521)*0+905/905*(-5/5*41615.22+6/6*43388.06)</f>
        <v>1772.8399999999965</v>
      </c>
      <c r="AH62" s="270">
        <f>4339/4339*(64754+16188+5832+273+320-1660)*0+13011/13011*(163503+14718+686+40874)*0+13015/13015*((3/3*-2655+7/7*5392)+7/7*(903/903*214017))*0+3113/3113*(-6/6*475555+7/7*563793)</f>
        <v>88238</v>
      </c>
      <c r="AI62" s="298"/>
      <c r="AJ62" s="298">
        <f>8796.02-11323.5</f>
        <v>-2527.4799999999996</v>
      </c>
      <c r="AK62" s="465">
        <f>-8418.4+10/10*76011.41</f>
        <v>67593.01000000001</v>
      </c>
      <c r="AL62" s="465"/>
      <c r="AM62" s="465"/>
      <c r="AN62" s="73">
        <f>AA62-1/1*(106788+26565+9570+447)*0-2/2*(112762+10149+28191+457)*0-4/4*-294929*0</f>
        <v>0</v>
      </c>
      <c r="AO62" s="328">
        <f t="shared" si="72"/>
        <v>0</v>
      </c>
      <c r="AP62" s="199"/>
      <c r="AQ62" s="118"/>
      <c r="AR62" s="119">
        <f>AO62-1.2/1.2*0</f>
        <v>0</v>
      </c>
      <c r="AU62" s="141">
        <f t="shared" si="73"/>
        <v>0</v>
      </c>
      <c r="AV62" s="142"/>
      <c r="AW62" s="143">
        <f t="shared" si="74"/>
        <v>0</v>
      </c>
      <c r="AX62" s="120"/>
      <c r="AY62" s="184" t="s">
        <v>109</v>
      </c>
      <c r="AZ62" s="144">
        <f t="shared" si="75"/>
        <v>0</v>
      </c>
      <c r="BA62" s="142"/>
      <c r="BB62" s="145">
        <f t="shared" si="76"/>
        <v>0</v>
      </c>
      <c r="BC62" s="146">
        <f t="shared" si="77"/>
        <v>0</v>
      </c>
    </row>
    <row r="63" spans="1:55" ht="19.5">
      <c r="A63" s="26" t="s">
        <v>154</v>
      </c>
      <c r="B63" s="348"/>
      <c r="C63" s="388"/>
      <c r="D63" s="389"/>
      <c r="E63" s="389"/>
      <c r="F63" s="389"/>
      <c r="G63" s="389"/>
      <c r="H63" s="389"/>
      <c r="I63" s="389"/>
      <c r="J63" s="388">
        <f t="shared" si="69"/>
        <v>0</v>
      </c>
      <c r="K63" s="93">
        <f>(((1/1*23221*(1+0.09+0.25+0.0042)+0.11+0.75+0.4718-31215*0+2/2*22970*(1+0.09+0.25+0.0042)+0.7+0.5-0.474-62092*0+3/3*31165*(1+0.09+0.25+0.0042)+(-0.85+0.75+0.107))+4/4*23240*(1+0.09+0.25+0.0042)+0.4+0+0.392+5/5*23655*(1+0.09+0.25+0.0042)+0.05+0.3-0.401)*0+7/7*(219409*0+8/8*255327.25-K134)-9/9*-(1200+(24373+6094+2195+103))+10/10*(860+(36034+9009+3243+152)))*0</f>
        <v>0</v>
      </c>
      <c r="L63" s="218"/>
      <c r="M63" s="214">
        <f>197176-194711</f>
        <v>2465</v>
      </c>
      <c r="N63" s="215"/>
      <c r="O63" s="217"/>
      <c r="P63" s="427"/>
      <c r="Q63" s="428"/>
      <c r="R63" s="428"/>
      <c r="S63" s="428"/>
      <c r="T63" s="428"/>
      <c r="U63" s="428"/>
      <c r="V63" s="428"/>
      <c r="W63" s="427">
        <f t="shared" si="70"/>
        <v>0</v>
      </c>
      <c r="X63" s="199"/>
      <c r="Y63" s="218"/>
      <c r="Z63" s="263"/>
      <c r="AA63" s="237">
        <f t="shared" si="71"/>
        <v>0</v>
      </c>
      <c r="AB63" s="93">
        <f>(((1/1*23221*(1+0.09+0.25+0.0042)+0.11+0.75+0.4718-31215*0+2/2*22970*(1+0.09+0.25+0.0042)+0.7+0.5-0.474-62092*0+3/3*31165*(1+0.09+0.25+0.0042)+(-0.85+0.75+0.107))+4/4*23240*(1+0.09+0.25+0.0042)+0.4+0+0.392+5/5*23655*(1+0.09+0.25+0.0042)+0.05+0.3-0.401)*0+7/7*(219409*0+8/8*255327.25-AB134)-9/9*-(1200+(24373+6094+2195+103))+10/10*(860+(36034+9009+3243+152)))*0</f>
        <v>0</v>
      </c>
      <c r="AC63" s="85" t="s">
        <v>166</v>
      </c>
      <c r="AD63" s="202" t="s">
        <v>218</v>
      </c>
      <c r="AE63" s="226" t="s">
        <v>272</v>
      </c>
      <c r="AF63" s="226" t="s">
        <v>314</v>
      </c>
      <c r="AG63" s="226" t="s">
        <v>365</v>
      </c>
      <c r="AH63" s="226" t="s">
        <v>426</v>
      </c>
      <c r="AI63" s="300"/>
      <c r="AJ63" s="300"/>
      <c r="AK63" s="475"/>
      <c r="AL63" s="475"/>
      <c r="AM63" s="475"/>
      <c r="AN63" s="330">
        <f>AA63-1/1*(23221+5806+2090+98)*0-2/2*(22970+2068+5743+96)*0-4/4*-20200*0-5/5*((31215+30877+41892*0)+31240)*0-6/6*31797*0-6/6*52388*0-7/7*-(31215+30877+41892+31240+31797+52388*0)*0-9/9*-(1200+(24373+6094+2195+103))*0*3009/3009*0</f>
        <v>0</v>
      </c>
      <c r="AO63" s="328">
        <f t="shared" si="72"/>
        <v>0</v>
      </c>
      <c r="AP63" s="199"/>
      <c r="AQ63" s="118"/>
      <c r="AR63" s="119">
        <f>AO63-1.2/1.2*0</f>
        <v>0</v>
      </c>
      <c r="AU63" s="141">
        <f t="shared" si="73"/>
        <v>0</v>
      </c>
      <c r="AV63" s="142"/>
      <c r="AW63" s="143">
        <f t="shared" si="74"/>
        <v>0</v>
      </c>
      <c r="AX63" s="120"/>
      <c r="AY63" s="184" t="s">
        <v>109</v>
      </c>
      <c r="AZ63" s="144">
        <f t="shared" si="75"/>
        <v>0</v>
      </c>
      <c r="BA63" s="142"/>
      <c r="BB63" s="145">
        <f t="shared" si="76"/>
        <v>0</v>
      </c>
      <c r="BC63" s="146">
        <f t="shared" si="77"/>
        <v>0</v>
      </c>
    </row>
    <row r="64" spans="1:56" ht="15">
      <c r="A64" s="26" t="s">
        <v>155</v>
      </c>
      <c r="B64" s="348"/>
      <c r="C64" s="388"/>
      <c r="D64" s="389"/>
      <c r="E64" s="389"/>
      <c r="F64" s="389"/>
      <c r="G64" s="389"/>
      <c r="H64" s="389"/>
      <c r="I64" s="389"/>
      <c r="J64" s="388">
        <f t="shared" si="69"/>
        <v>0</v>
      </c>
      <c r="K64" s="93">
        <f>1/1*((8938/(1+0.09+0.25)-0.149254-6670*0)*(1+0.09+0.25+0.0042*0)+0.7-0.5-0.01399687*0)+2/2*(13237-6670)*(1+0.09+0.25)+(-0.03*0+0.97)+0.25-17739*0+3/3*8795*(1+0.09+0.25)+0.4500004+0.25-11786*0+5/5*8989+6/6*9103+7/7*12789+8/8*9287+9/9*(6995+1749+630)+10/10*(9920+2480+893)+11/11*(6670+1667+601)+12/12*(17345+4336+1562)</f>
        <v>124541.00000004</v>
      </c>
      <c r="L64" s="218"/>
      <c r="M64" s="214">
        <f>SUM(K62:K64)+4339/4339*42380</f>
        <v>166921.00000004</v>
      </c>
      <c r="N64" s="215"/>
      <c r="O64" s="219"/>
      <c r="P64" s="427"/>
      <c r="Q64" s="428"/>
      <c r="R64" s="428"/>
      <c r="S64" s="428"/>
      <c r="T64" s="428"/>
      <c r="U64" s="428"/>
      <c r="V64" s="428"/>
      <c r="W64" s="427">
        <f t="shared" si="70"/>
        <v>0</v>
      </c>
      <c r="X64" s="199"/>
      <c r="Y64" s="218"/>
      <c r="Z64" s="263"/>
      <c r="AA64" s="237">
        <f t="shared" si="71"/>
        <v>23243</v>
      </c>
      <c r="AB64" s="93">
        <f>1/1*((8938/(1+0.09+0.25)-0.149254-6670*0)*(1+0.09+0.25+0.0042*0)+0.7-0.5-0.01399687*0)+2/2*(13237-6670)*(1+0.09+0.25)+(-0.03*0+0.97)+0.25-17739*0+3/3*8795*(1+0.09+0.25)+0.4500004+0.25-11786*0+5/5*8989+6/6*9103+7/7*12789+8/8*9287+9/9*(6995+1749+630)+10/10*(9920+2480+893)+11/11*(6670+1667+601)</f>
        <v>101298.00000004</v>
      </c>
      <c r="AC64" s="85" t="s">
        <v>167</v>
      </c>
      <c r="AD64" s="202" t="s">
        <v>219</v>
      </c>
      <c r="AE64" s="226" t="s">
        <v>273</v>
      </c>
      <c r="AF64" s="226" t="s">
        <v>312</v>
      </c>
      <c r="AG64" s="226" t="s">
        <v>364</v>
      </c>
      <c r="AH64" s="226" t="s">
        <v>419</v>
      </c>
      <c r="AI64" s="301" t="s">
        <v>476</v>
      </c>
      <c r="AJ64" s="301"/>
      <c r="AK64" s="476" t="s">
        <v>578</v>
      </c>
      <c r="AL64" s="476" t="s">
        <v>625</v>
      </c>
      <c r="AM64" s="476"/>
      <c r="AN64" s="73">
        <f>AA64-1/1*(6670+1667+601)*0-2/2*(6567+592+1642)*0-4/4*11786*0-5/5*8989*0-6/6*9103*0-7/7*12789*0-8/8*9287*0-9/9*(6995+1749+630)*0-10/10*(9920+893+2480)*0-11/11*(6670+1667+601)*0</f>
        <v>23243</v>
      </c>
      <c r="AO64" s="328">
        <f t="shared" si="72"/>
        <v>0</v>
      </c>
      <c r="AP64" s="199"/>
      <c r="AQ64" s="118"/>
      <c r="AR64" s="119">
        <f>AO64-1.2/1.2*0</f>
        <v>0</v>
      </c>
      <c r="AU64" s="141">
        <f t="shared" si="73"/>
        <v>124541.00000004</v>
      </c>
      <c r="AV64" s="142"/>
      <c r="AW64" s="143">
        <f t="shared" si="74"/>
        <v>124541.00000004</v>
      </c>
      <c r="AX64" s="120"/>
      <c r="AY64" s="185"/>
      <c r="AZ64" s="144">
        <f t="shared" si="75"/>
        <v>0</v>
      </c>
      <c r="BA64" s="142"/>
      <c r="BB64" s="145">
        <f t="shared" si="76"/>
        <v>0</v>
      </c>
      <c r="BC64" s="146">
        <f t="shared" si="77"/>
        <v>-124541.00000004</v>
      </c>
      <c r="BD64" s="369">
        <f aca="true" t="shared" si="78" ref="BD64:BD73">AZ64-X64</f>
        <v>0</v>
      </c>
    </row>
    <row r="65" spans="1:56" ht="29.25">
      <c r="A65" s="34" t="s">
        <v>156</v>
      </c>
      <c r="B65" s="351"/>
      <c r="C65" s="388"/>
      <c r="D65" s="389"/>
      <c r="E65" s="389"/>
      <c r="F65" s="389"/>
      <c r="G65" s="389"/>
      <c r="H65" s="389"/>
      <c r="I65" s="389"/>
      <c r="J65" s="388">
        <f>SUM(C65:I65)</f>
        <v>0</v>
      </c>
      <c r="K65" s="316">
        <f>((1/1*1187039+2/2*1184648+3/3*1630774+4/4*1179204+5/5*1980303+6/6*1696247-13011/13011*(K62*0+362032*0+4/4*464851*0+5/5*576027*0+6/6*739530)-13015/13015*(K63*0+23221+22970+31165+4/4*23240+5/5*23655+6/6*34960)-4137/4137*(K64*0+8938+6567+8795+4/4*6708+6794+6/6*9545)*0-4339/4339*((42380+2/2*43508+3/3*57982)*0+123/123*143870+4/4*36888+33437+6/6*64754))*(1+0.09+0.25+0.0042)-(3394903+305541+848726+14259)*0+(-0.27+0.25+0.407)*0+5/5*(0.32+0+0.3016)*0+6/6*-8347069.33+((6369333+6597576*0)*(1+0.09+0.25+0.0042)+0.03-0.25-0.199-4339/4339*287861-13011/13011*774107-13015/13015*167021-4137/4137*47617)+0.625-50814-3107/3107*9211330)*0+3108/3108*((9286669-4339/4339*364562-13011/13011*818406-13015/13015*183193-4137/4137*52009-7868499*0)*(1+0.09+0.25+0.0042)+0.09+0.25+0.3042)*0+3009/3009*(((10562905-4339/4339*13010/13010*415815-13011/13011*924769-13015/13015*207566-4137/4137*59004-3113/3113*(50340+74100*7)))*(1+0.09+0.25+0.0042)+0.01+0.25-0.1862)*0+3110/3110*((((11011700-4339/4339*13010/13010*492193-13011/13011*1075982-13015/13015*243600-4137/4137*68924-3113/3113*(50340+74100*8))))*(1+0.09+0.25+0.0042)+0.51+0.75-0.016)+3011/3011*((((12263771-4339/4339*13010/13010*545959-13011/13011*1186718-13015/13015*115832-10321/10321*74100))*(1+0.09+0.25+0.0042)+((-39.0878-2255.336+0.6256)-11873.22))*0+1042027*(1+0.09+0.25+0.0042)+0.307-0.00059999)-12810077+3112/3112*(2/2*2927531+3/3*1013969+1/1*1025950+6/6*6513884+7/7*1856296)</f>
        <v>13337630.00000001</v>
      </c>
      <c r="L65" s="218"/>
      <c r="M65" s="220">
        <f>13015/13015*(K63*0+23221+22970+31165-77356)+4137/4137*(K64*0+8938+6567+8795-24300)+4339/4339*(42380+2/2*43508+3/3*57982-123/123*143870)</f>
        <v>0</v>
      </c>
      <c r="N65" s="215"/>
      <c r="O65" s="219"/>
      <c r="P65" s="427"/>
      <c r="Q65" s="428"/>
      <c r="R65" s="428"/>
      <c r="S65" s="428"/>
      <c r="T65" s="428"/>
      <c r="U65" s="428"/>
      <c r="V65" s="428"/>
      <c r="W65" s="427">
        <f>SUM(P65:V65)</f>
        <v>0</v>
      </c>
      <c r="X65" s="199"/>
      <c r="Y65" s="218"/>
      <c r="Z65" s="263"/>
      <c r="AA65" s="237">
        <f>K65-AB65</f>
        <v>527552.9994000103</v>
      </c>
      <c r="AB65" s="316">
        <f>((1/1*1187039+2/2*1184648+3/3*1630774+4/4*1179204+5/5*1980303+6/6*1696247-13011/13011*(AB62*0+362032*0+4/4*464851*0+5/5*576027*0+6/6*739530)-13015/13015*(AB63*0+23221+22970+31165+4/4*23240+5/5*23655+6/6*34960)-4137/4137*(AB64*0+8938+6567+8795+4/4*6708+6794+6/6*9545)*0-4339/4339*((42380+2/2*43508+3/3*57982)*0+123/123*143870+4/4*36888+33437+6/6*64754))*(1+0.09+0.25+0.0042)-(3394903+305541+848726+14259)*0+(-0.27+0.25+0.407)*0+5/5*(0.32+0+0.3016)*0+6/6*-8347069.33+((6369333+6597576*0)*(1+0.09+0.25+0.0042)+0.03-0.25-0.199-4339/4339*287861-13011/13011*774107-13015/13015*167021-4137/4137*47617)+0.625-50814-3107/3107*9211330)*0+3108/3108*((9286669-4339/4339*364562-13011/13011*818406-13015/13015*183193-4137/4137*52009-7868499*0)*(1+0.09+0.25+0.0042)+0.09+0.25+0.3042)*0+3009/3009*(((10562905-4339/4339*13010/13010*415815-13011/13011*924769-13015/13015*207566-4137/4137*59004-3113/3113*(50340+74100*7)))*(1+0.09+0.25+0.0042)+0.01+0.25-0.1862)*0+3110/3110*((((11011700-4339/4339*13010/13010*492193-13011/13011*1075982-13015/13015*243600-4137/4137*68924-3113/3113*(50340+74100*8))))*(1+0.09+0.25+0.0042)+0.51+0.75-0.016)+3011/3011*((((12263771-4339/4339*13010/13010*545959-13011/13011*1186718-13015/13015*115832-10321/10321*74100))*(1+0.09+0.25+0.0042)+((-39.0878-2255.336+0.6256)-11873.22))*0+1042027*(1+0.09+0.25+0.0042)+0.307)</f>
        <v>12810077.000599999</v>
      </c>
      <c r="AC65" s="85" t="s">
        <v>229</v>
      </c>
      <c r="AD65" s="201"/>
      <c r="AE65" s="201" t="s">
        <v>275</v>
      </c>
      <c r="AF65" s="235">
        <f>(1179204-13011/13011*102819-13010/13010*23240-4339/4339*36888-4137/4137*6708-1009549*0)*(1+0.09+0.25+0.0042)</f>
        <v>1357035.7658000002</v>
      </c>
      <c r="AG65" s="235" t="s">
        <v>368</v>
      </c>
      <c r="AH65" s="235" t="s">
        <v>427</v>
      </c>
      <c r="AI65" s="299" t="s">
        <v>479</v>
      </c>
      <c r="AJ65" s="299" t="s">
        <v>534</v>
      </c>
      <c r="AK65" s="464" t="s">
        <v>580</v>
      </c>
      <c r="AL65" s="464" t="s">
        <v>628</v>
      </c>
      <c r="AM65" s="464"/>
      <c r="AN65" s="73">
        <f>AA65-1/1*((961136+240284+86502+4037)*0+(1007980+251995+90718+4234)+5038/5038*21504)*0-4/4*1691508*0-5/5*(((1179204-13011/13011*102819-13010/13010*23240-4339/4339*36888-4137/4137*6708-1009549*0)*(1+0.09+0.25+0.0042)-0.2346))*0-(2426604.33*0+1364586)/(1+0.09+0.25+0.0042)*0-(+(753315+261851)+(188329+65463)+(67798+23567)+(3164+1120)-21)*0-7/7*(1433030+358257+128973+6019)*0-8/8*((1032618-13583*0)*(1+0.09+0.25+0.0042*0)+18201.12)*0-3009/3009*((1276236-13010/13010*51253-13011/13011*106363-13015/13015*24373-4137/4137*6995-3113/3113*(50340+7*74100)-518212*0)*(1+0.09+0.25+0.0042)-0.08-0-0.4904)*0-10/10*((1708305+153747+427076+7175)*0+(1395635+125607+348909+5862)+135967*0-1740046)*0-11/11*(1042027+93782+260507+4377)*0</f>
        <v>527552.9994000103</v>
      </c>
      <c r="AO65" s="328">
        <f t="shared" si="72"/>
        <v>0</v>
      </c>
      <c r="AP65" s="199"/>
      <c r="AQ65" s="118"/>
      <c r="AR65" s="119">
        <f>AO65-1.2/1.2*0</f>
        <v>0</v>
      </c>
      <c r="AU65" s="141">
        <f t="shared" si="73"/>
        <v>13337630.00000001</v>
      </c>
      <c r="AV65" s="142"/>
      <c r="AW65" s="143">
        <f t="shared" si="74"/>
        <v>13337630.00000001</v>
      </c>
      <c r="AX65" s="120"/>
      <c r="AY65" s="185"/>
      <c r="AZ65" s="144">
        <f t="shared" si="75"/>
        <v>0</v>
      </c>
      <c r="BA65" s="142"/>
      <c r="BB65" s="145">
        <f t="shared" si="76"/>
        <v>0</v>
      </c>
      <c r="BC65" s="146">
        <f t="shared" si="77"/>
        <v>-13337630.00000001</v>
      </c>
      <c r="BD65" s="369">
        <f t="shared" si="78"/>
        <v>0</v>
      </c>
    </row>
    <row r="66" spans="1:56" ht="39">
      <c r="A66" s="34" t="s">
        <v>157</v>
      </c>
      <c r="B66" s="351"/>
      <c r="C66" s="388"/>
      <c r="D66" s="389"/>
      <c r="E66" s="389"/>
      <c r="F66" s="389"/>
      <c r="G66" s="389"/>
      <c r="H66" s="389"/>
      <c r="I66" s="389"/>
      <c r="J66" s="388">
        <f t="shared" si="69"/>
        <v>0</v>
      </c>
      <c r="K66" s="316">
        <f>(5011313238/5011313238*(((1720875+13182+455765+163878+27167+3/3*97210)*0+3/3*(3401991+41696+902530+324904+27167+3/3*200110)*0+4/4*(5228824+15922+1387278+499360+54002+3/3*321181)*0+5/5*(6981101+34295+1849617+665802+53243+3/3*411299)*0+6/6*(8791164+56894+2311531+832090+53103+3/3*442609)*0+7/7*(11403807+76643+2997433+1079018+3/3*567600))-(K62*0+(362032+90375+32543+1503)*0+5/5*(576027+143872+51806+2402)*0+6/6*(739530+184746+66524+3088))-K63-K64-K65+14572-4/4*((9021/9021*(295310+32184+27714+76943)+3612/3612*(368266+17140+33064+91747))*0+(1457472+131172+364368+6121)*0))*(1+0.09+0.25+0.0042)+(-0.48-0.0001-0.382402)*0+5/5*(0.188+0+0.111)*0+6/6*-122404.041*0+149732.52559252+0.433)*0-4405670*0+12345/12345*(4230704*(1+0.09+0.25+0.0042)-0.36+0+0.043)*0+123456/123456*5375485*(1+0.09+0.25+0.0042)+0.35-0.25-0.037-4/4*(9021/9021*(295310+32184+27714+76943)+3612/3612*(368266+17140+33064+91747))-3107/3107*6283359+3108/3108*(11385209+5021/5021*71515+3021122+1087473+75732+3/3*674685)*0+3009/3009*(14244774+5021/5021*96174+3762338+1354322+79691+3/3*782735)*0+3110/3110*(16015961+72723+4234977+1524418+107598+3/3*906525)*0+3011/3011*(16345058+92672+4432655+1595549+101332+3/3*1008244)*0+3112/3112*(20149952+97604+5373421+1934181+99383+3/3*1169849)-K65</f>
        <v>15486759.99999999</v>
      </c>
      <c r="L66" s="218"/>
      <c r="M66" s="214">
        <f>2380867+97210+8938-(K64+K66)*0+247562</f>
        <v>2734577</v>
      </c>
      <c r="N66" s="215"/>
      <c r="O66" s="219"/>
      <c r="P66" s="427"/>
      <c r="Q66" s="428"/>
      <c r="R66" s="428"/>
      <c r="S66" s="428"/>
      <c r="T66" s="428"/>
      <c r="U66" s="428"/>
      <c r="V66" s="428"/>
      <c r="W66" s="427">
        <f t="shared" si="70"/>
        <v>0</v>
      </c>
      <c r="X66" s="199"/>
      <c r="Y66" s="218"/>
      <c r="Z66" s="263"/>
      <c r="AA66" s="237">
        <f t="shared" si="71"/>
        <v>4721327.00059999</v>
      </c>
      <c r="AB66" s="316">
        <f>(5011313238/5011313238*(((1720875+13182+455765+163878+27167+3/3*97210)*0+3/3*(3401991+41696+902530+324904+27167+3/3*200110)*0+4/4*(5228824+15922+1387278+499360+54002+3/3*321181)*0+5/5*(6981101+34295+1849617+665802+53243+3/3*411299)*0+6/6*(8791164+56894+2311531+832090+53103+3/3*442609)*0+7/7*(11403807+76643+2997433+1079018+3/3*567600))-(AB62*0+(362032+90375+32543+1503)*0+5/5*(576027+143872+51806+2402)*0+6/6*(739530+184746+66524+3088))-AB63-AB64-AB65+14572-4/4*((9021/9021*(295310+32184+27714+76943)+3612/3612*(368266+17140+33064+91747))*0+(1457472+131172+364368+6121)*0))*(1+0.09+0.25+0.0042)+(-0.48-0.0001-0.382402)*0+5/5*(0.188+0+0.111)*0+6/6*-122404.041*0+149732.52559252+0.433)*0-4405670*0+12345/12345*(4230704*(1+0.09+0.25+0.0042)-0.36+0+0.043)*0+123456/123456*5375485*(1+0.09+0.25+0.0042)+0.35-0.25-0.037-4/4*(9021/9021*(295310+32184+27714+76943)+3612/3612*(368266+17140+33064+91747))-3107/3107*6283359+3108/3108*(11385209+5021/5021*71515+3021122+1087473+75732+3/3*674685)*0+3009/3009*(14244774+5021/5021*96174+3762338+1354322+79691+3/3*782735)*0+3110/3110*(16015961+72723+4234977+1524418+107598+3/3*906525)*0+3011/3011*(16345058+92672+4432655+1595549+101332+3/3*1008244)-AB65</f>
        <v>10765432.999400001</v>
      </c>
      <c r="AC66" s="85" t="s">
        <v>230</v>
      </c>
      <c r="AD66" s="201"/>
      <c r="AE66" s="201" t="s">
        <v>274</v>
      </c>
      <c r="AF66" s="201">
        <f>799261*(1+0.09+0.25+0.0042)+0.5+0.3+0.1-1383765*0-799261-71934-1998160-3357</f>
        <v>-1798344.4637999998</v>
      </c>
      <c r="AG66" s="235" t="s">
        <v>367</v>
      </c>
      <c r="AH66" s="235" t="s">
        <v>425</v>
      </c>
      <c r="AI66" s="299" t="s">
        <v>480</v>
      </c>
      <c r="AJ66" s="299" t="s">
        <v>535</v>
      </c>
      <c r="AK66" s="235" t="s">
        <v>581</v>
      </c>
      <c r="AL66" s="235" t="s">
        <v>627</v>
      </c>
      <c r="AM66" s="477"/>
      <c r="AN66" s="73">
        <f>AA66-1/1*(((1002595*0+939627)/(1+0.25+0.09+0.0042)*(1+0.25+0.09+0.0042)+(-0.4304+0.1424-0.06874+0.356792)*0-0.2108+0.1973-0.08897+0.102515*0)*0+(745867+186467+67128+3133)*0+(699023+174756+62912+2936)-5038/5038*6932)*0-4/4*(1235212+0.000435265-432151-510217)*0-5/5*(-(799261*(1+0.09+0.25+0.0042)+0.5+0.3+0.1-1383765*0-799261-71934-1998160-3357)+414579.4642)*0-5/5*((790635+252101)*(1+0.09+0.25+0.0042)-0.433+0.164399948)*0-7/7*(1144782+101520+282000+4738+5775)*0-8/8*(814603*(1+0.09+0.25+0.0042)-3612/3612*(399203+0+35956+99782)-9021/9021*(287950+32184+26965+74857))*0-3009/3009*((846787+50340+7*74100-1415827*0)*(1+0.09+0.25+0.0042)+0.57+0.25+0.527+1044906*(1+0.09+0.25+0.0042)-0.54-0.5+0.394)*0-10/10*(9021/9021*(-357348-26674-33299-92453)+3612/3612*(-401564-10100-36168-100370)+(1157727+104195+289432+4862)+1740046+167915)*0+3011/3011*687385*0-11/11*(9021/9021*-(357348+26674+33299+92453)+3612/3612*-(401564+10100+36168+100370))*0</f>
        <v>4721327.00059999</v>
      </c>
      <c r="AO66" s="328">
        <f t="shared" si="72"/>
        <v>0</v>
      </c>
      <c r="AP66" s="199"/>
      <c r="AQ66" s="118"/>
      <c r="AR66" s="119">
        <f>AO66-1.2/1.2*0</f>
        <v>0</v>
      </c>
      <c r="AU66" s="141">
        <f t="shared" si="73"/>
        <v>15486759.99999999</v>
      </c>
      <c r="AV66" s="142"/>
      <c r="AW66" s="143">
        <f t="shared" si="74"/>
        <v>15486759.99999999</v>
      </c>
      <c r="AX66" s="120"/>
      <c r="AY66" s="185"/>
      <c r="AZ66" s="144">
        <f t="shared" si="75"/>
        <v>0</v>
      </c>
      <c r="BA66" s="142"/>
      <c r="BB66" s="145">
        <f t="shared" si="76"/>
        <v>0</v>
      </c>
      <c r="BC66" s="146">
        <f t="shared" si="77"/>
        <v>-15486759.99999999</v>
      </c>
      <c r="BD66" s="369">
        <f t="shared" si="78"/>
        <v>0</v>
      </c>
    </row>
    <row r="67" spans="1:56" ht="34.5" customHeight="1">
      <c r="A67" s="26" t="s">
        <v>158</v>
      </c>
      <c r="B67" s="348"/>
      <c r="C67" s="388">
        <f>732/732*6/6*1000*0+23/23*1500*0</f>
        <v>0</v>
      </c>
      <c r="D67" s="389"/>
      <c r="E67" s="389"/>
      <c r="F67" s="389"/>
      <c r="G67" s="389"/>
      <c r="H67" s="389"/>
      <c r="I67" s="389"/>
      <c r="J67" s="388">
        <f t="shared" si="69"/>
        <v>0</v>
      </c>
      <c r="K67" s="93">
        <f>(21/21*(154292.09*0+3/3*218706.88*0+4/4*(268052.31*0+268432.31)*0+5/5*314660.36*0+6/6*344122.13*0+7/7*353932.42*0+8/8*469813.92*0+9/9*489313.92*0+10/10*505398.34*0+11/11*550560.51*0+12/12*623447.36)+23/23*(57730.81*0+3/3*82502.61*0+4/4*(112207.35*0+116648.35)*0+5/5*127367.2*0+6/6*148362.88*0+7/7*153195.67*0+8/8*231361.17*0+9/9*268230.67*0+10/10*263098.76*0+11/11*283887.68*0+12/12*295424.84+910/910*23/23*(7/7*4441*0+8/8*4299*0+9/9*8740)*0*9/9)+732/732*(-8411.89*0+3/3*(25793.29*0+4/4*(12700.8*0+13470.8*0+5/5*23206.45*0+6/6*301486.42*0+7/7*289341.87*0+8/8*383409.62*0+9/9*516135.87*0+10/10*1195072.03*0+11/11*1453115.09*0+12/12*1590428.02-6121/6121*(16940*0+6/6*280530*0+8/8*304730*0+9/9*430289*0+10/10*1142410*0+11/11*1392912*0+12/12*1476402)))+1600/1600*(3032*0+3/3*4032*0+4/4*8378.74*0+6/6*13286.94*0+8/8*25531.94*0+9/9*46375.94*0+11/11*56915.94))-1089814.16)*0+3112/3112*1069354.44</f>
        <v>1069354.44</v>
      </c>
      <c r="L67" s="218"/>
      <c r="M67" s="337">
        <f>21/21*(608447.36+907/907*530.28)+23/23*(295424.84+910/910*8740)+732/732*(901/901*770+904/904*(1574928.02-61/61*1476402))+1379/1379*0+1600/1600*56915.94-K67</f>
        <v>0</v>
      </c>
      <c r="N67" s="215"/>
      <c r="O67" s="221" t="s">
        <v>3</v>
      </c>
      <c r="P67" s="427">
        <f>12*6</f>
        <v>72</v>
      </c>
      <c r="Q67" s="428"/>
      <c r="R67" s="428"/>
      <c r="S67" s="428"/>
      <c r="T67" s="428"/>
      <c r="U67" s="428">
        <f>P67-(72950+17300-(X67*0+3110/3110*55650))/1000-0.4</f>
        <v>37</v>
      </c>
      <c r="V67" s="428"/>
      <c r="W67" s="427">
        <f t="shared" si="70"/>
        <v>109</v>
      </c>
      <c r="X67" s="93">
        <f>2/2*2500*0+3/3*3750+(8/8+9/9+10/10+11/11+12/12)*(21050-3750)</f>
        <v>90250</v>
      </c>
      <c r="Y67" s="213">
        <f>X67/(W67*1000)</f>
        <v>0.8279816513761468</v>
      </c>
      <c r="Z67" s="263"/>
      <c r="AA67" s="237">
        <f t="shared" si="71"/>
        <v>117787.21999999997</v>
      </c>
      <c r="AB67" s="93">
        <f>21/21*(154292.09*0+3/3*218706.88*0+4/4*(268052.31*0+268432.31)*0+5/5*314660.36*0+6/6*344122.13*0+7/7*353932.42*0+8/8*469813.92*0+9/9*489313.92*0+10/10*505398.34*0+11/11*550560.51)+23/23*(57730.81*0+3/3*82502.61*0+4/4*(112207.35*0+116648.35)*0+5/5*127367.2*0+6/6*148362.88*0+7/7*153195.67*0+8/8*231361.17*0+9/9*268230.67*0+10/10*263098.76*0+11/11*283887.68+910/910*23/23*(7/7*4441*0+8/8*4299*0+9/9*8740)*0*9/9)+732/732*(-8411.89*0+3/3*(25793.29*0+4/4*(12700.8*0+13470.8*0+5/5*23206.45*0+6/6*301486.42*0+7/7*289341.87*0+8/8*383409.62*0+9/9*516135.87*0+10/10*1195072.03*0+11/11*1453115.09-6121/6121*(16940*0+6/6*280530*0+8/8*304730*0+9/9*430289*0+10/10*1142410*0+11/11*1392912)))+1600/1600*(3032*0+3/3*4032*0+4/4*8378.74*0+6/6*13286.94*0+8/8*25531.94*0+9/9*46375.94*0+11/11*56915.94))</f>
        <v>951567.22</v>
      </c>
      <c r="AC67" s="85" t="s">
        <v>159</v>
      </c>
      <c r="AD67" s="201" t="s">
        <v>233</v>
      </c>
      <c r="AE67" s="201" t="s">
        <v>264</v>
      </c>
      <c r="AF67" s="201" t="s">
        <v>332</v>
      </c>
      <c r="AG67" s="203" t="s">
        <v>384</v>
      </c>
      <c r="AH67" s="203" t="s">
        <v>430</v>
      </c>
      <c r="AI67" s="302" t="s">
        <v>496</v>
      </c>
      <c r="AJ67" s="302" t="s">
        <v>541</v>
      </c>
      <c r="AK67" s="203" t="s">
        <v>697</v>
      </c>
      <c r="AL67" s="478" t="s">
        <v>698</v>
      </c>
      <c r="AM67" s="203" t="s">
        <v>699</v>
      </c>
      <c r="AN67" s="73">
        <f>AA67-2/2*(21/21*154292.09+23/23*57730.81+732/732*-8411.89+1600/1600*3032)*0-3/3*(64414.79+24771.8+17265.18+1000)*0-4/4*((49345.43+29704.74+732/732*(24157.51-37250)+4346.74)+5591)*0-5/5*(21/21*(1210+17850+(109+604)+26512.05+323-380)+23/23*(5920+(36+1208)+6856.85+1139)-4441+732/732*(2230+268+(604+109)+7294.65-770))*0-6/6*(29461.77+20995.68+14689.97+4908.2)*0-7/7*(2*785.29+323+801+8702+3246.5+732/732*(1203+20588.2+192-(1750+14500+15000+6000)+3122.25))*0-8/8*(21/21*(88204+17850+8702+323+802.5)+23/23*(68130+5920+3246.5+801+4299+68)+732/732*(2230+3122.25+31050+20842+11627+192+804.5)+1600/1600*12245)*0-9/9*(21/21*(1222+9200+8702+53+323)+23/23*(1209+801+7381+11800+3246.5+12432+(8/8)*4441)-5131.91+732/732*(53+192+3800+3122.25)+1600/1600*(19844+1000)+3009/3009*-8740)*0-10/10*(15652.42+109+323-5131.91-33184.84)*0-11/11*(21/21*(1487+17850+1031+23758.17+1036)+23/23*(1408+5920+4978.79+1426+6255.13+801)+732/732*(2230+4406.06+905)+1600/1600*10540)*0-12/12*(72886.85+11537.16+137312.93-83490)</f>
        <v>-20459.72000000003</v>
      </c>
      <c r="AO67" s="328">
        <f t="shared" si="72"/>
        <v>17300</v>
      </c>
      <c r="AP67" s="343">
        <f>2/2*2500*0+3/3*3750+(8/8+9/9+10/10+11/11)*(21050-3750)</f>
        <v>72950</v>
      </c>
      <c r="AQ67" s="118" t="s">
        <v>458</v>
      </c>
      <c r="AR67" s="119">
        <f>AO67-1.2/1.2*2*1250*0-3/3*1250*0-8/8*(8*2000+1300)*(0+9/9*0+10/10*0+11/11)</f>
        <v>0</v>
      </c>
      <c r="AU67" s="141">
        <f t="shared" si="73"/>
        <v>1069354.44</v>
      </c>
      <c r="AV67" s="142"/>
      <c r="AW67" s="143">
        <f t="shared" si="74"/>
        <v>1069354.44</v>
      </c>
      <c r="AX67" s="120"/>
      <c r="AY67" s="186" t="s">
        <v>3</v>
      </c>
      <c r="AZ67" s="144">
        <f t="shared" si="75"/>
        <v>90250</v>
      </c>
      <c r="BA67" s="142"/>
      <c r="BB67" s="145">
        <f t="shared" si="76"/>
        <v>90250</v>
      </c>
      <c r="BC67" s="146">
        <f t="shared" si="77"/>
        <v>-979104.44</v>
      </c>
      <c r="BD67" s="369">
        <f t="shared" si="78"/>
        <v>0</v>
      </c>
    </row>
    <row r="68" spans="1:56" ht="15">
      <c r="A68" s="26" t="s">
        <v>52</v>
      </c>
      <c r="B68" s="348"/>
      <c r="C68" s="388"/>
      <c r="D68" s="389"/>
      <c r="E68" s="389"/>
      <c r="F68" s="389"/>
      <c r="G68" s="389"/>
      <c r="H68" s="389"/>
      <c r="I68" s="389"/>
      <c r="J68" s="388">
        <f t="shared" si="69"/>
        <v>0</v>
      </c>
      <c r="K68" s="93"/>
      <c r="L68" s="218"/>
      <c r="M68" s="214">
        <f>M69+K60-6/6*2260922</f>
        <v>1732176</v>
      </c>
      <c r="N68" s="215"/>
      <c r="O68" s="219" t="s">
        <v>51</v>
      </c>
      <c r="P68" s="427">
        <v>450</v>
      </c>
      <c r="Q68" s="428"/>
      <c r="R68" s="428"/>
      <c r="S68" s="428"/>
      <c r="T68" s="428">
        <f>150</f>
        <v>150</v>
      </c>
      <c r="U68" s="428"/>
      <c r="V68" s="428">
        <v>33.3</v>
      </c>
      <c r="W68" s="427">
        <f t="shared" si="70"/>
        <v>633.3</v>
      </c>
      <c r="X68" s="93">
        <f>2/2*80535*0+3/3*97335*0+4/4*211935*0+5/5*226835*0+6/6*273735*0+7/7*452535*0+8/8*487135*0+9/9*532835*0+10/10*560443*0+11/11*601174*0+12/12*640345.08</f>
        <v>640345.08</v>
      </c>
      <c r="Y68" s="213">
        <f>X68/(W68*1000)</f>
        <v>1.0111243960208431</v>
      </c>
      <c r="Z68" s="263"/>
      <c r="AA68" s="237">
        <f t="shared" si="71"/>
        <v>0</v>
      </c>
      <c r="AB68" s="93"/>
      <c r="AC68" s="85">
        <f>5011/5011*(13011/13011*106788+13015/13015*23221+4137/4137*6670+(961136*0+1007980)+16/16*(745867*0+699023)-(1930439-3113/3113*50340)+(743400-699023)*0+36417)+5031/5031*((26565+5806+1667+251995+174756+13010/13010*10542*0)-5024-455765)+5032/5032*(9570+2090+601+90718+62912-2013-163878)+5038/5038*(447+98+0+4234+2936+19452-27167)</f>
        <v>0</v>
      </c>
      <c r="AD68" s="201"/>
      <c r="AE68" s="201">
        <f>1750+14500+15000+6000</f>
        <v>37250</v>
      </c>
      <c r="AF68" s="201">
        <f>799261*(1+0.09+0.25+0.0042)</f>
        <v>1074366.6362</v>
      </c>
      <c r="AG68" s="255">
        <f>338874/(1+0.09+0.25+0.0042)*(0.09*0+0.25*0+0.0042)</f>
        <v>1058.8236869513464</v>
      </c>
      <c r="AH68" s="255"/>
      <c r="AI68" s="229"/>
      <c r="AJ68" s="229"/>
      <c r="AK68" s="479">
        <f>1157727*(1*0+0.09+0.25*0+0.0042*0)</f>
        <v>104195.43</v>
      </c>
      <c r="AL68" s="479"/>
      <c r="AM68" s="479">
        <f>-11/11*1392912+12/12*1476402</f>
        <v>83490</v>
      </c>
      <c r="AN68" s="73">
        <f>AA68-0</f>
        <v>0</v>
      </c>
      <c r="AO68" s="328">
        <f t="shared" si="72"/>
        <v>39171.07999999996</v>
      </c>
      <c r="AP68" s="343">
        <f>2/2*80535*0+3/3*97335*0+4/4*211935*0+5/5*226835*0+6/6*273735*0+7/7*452535*0+8/8*487135*0+9/9*532835*0+10/10*560443*0+11/11*601174</f>
        <v>601174</v>
      </c>
      <c r="AQ68" s="118" t="s">
        <v>710</v>
      </c>
      <c r="AR68" s="119">
        <f>AO68-1.2/1.2*80535*0-3/3*16800*0-4/4*114600*0-5/5*14900*0-6/6*46900*0-7/7*178800*0-8/8*34600*0-9/9*45700*0-10/10*27608*0-11/11*40731*0-12/12*39171</f>
        <v>0.07999999995809048</v>
      </c>
      <c r="AU68" s="141">
        <f t="shared" si="73"/>
        <v>0</v>
      </c>
      <c r="AV68" s="142"/>
      <c r="AW68" s="143">
        <f t="shared" si="74"/>
        <v>0</v>
      </c>
      <c r="AX68" s="120"/>
      <c r="AY68" s="185" t="s">
        <v>51</v>
      </c>
      <c r="AZ68" s="144">
        <f t="shared" si="75"/>
        <v>640345.08</v>
      </c>
      <c r="BA68" s="142"/>
      <c r="BB68" s="145">
        <f t="shared" si="76"/>
        <v>640345.08</v>
      </c>
      <c r="BC68" s="146">
        <f t="shared" si="77"/>
        <v>640345.08</v>
      </c>
      <c r="BD68" s="369">
        <f t="shared" si="78"/>
        <v>0</v>
      </c>
    </row>
    <row r="69" spans="1:56" ht="45" customHeight="1">
      <c r="A69" s="26" t="s">
        <v>29</v>
      </c>
      <c r="B69" s="348"/>
      <c r="C69" s="388"/>
      <c r="D69" s="389"/>
      <c r="E69" s="389"/>
      <c r="F69" s="389"/>
      <c r="G69" s="389">
        <f>106/106*111.5+506/506*28.9</f>
        <v>140.4</v>
      </c>
      <c r="H69" s="389"/>
      <c r="I69" s="389">
        <f>6112/6112*1476.8+6171/6171*130.9</f>
        <v>1607.7</v>
      </c>
      <c r="J69" s="388">
        <f t="shared" si="69"/>
        <v>1748.1000000000001</v>
      </c>
      <c r="K69" s="93">
        <f>(910/910*(241216/241216*(6112/6112*(24205*0+3/3*26705)+6171/6171*6655)+250217/250217*(2788*0+3/3*(6112/6112*76661*0+4/4*79561+6171/6171*2300)+392016/392016*(50000*0+10/10*81097*0+11/11*155065*0+12/12*178709))+3/3*(1002/1002*8825+101110/101110*3250+170916/170916*2000+2802/2802*20270+2014/2014*(6171/6171*2306/2306*5879)))+40616/40616*2000+4/4*(2014/2014*(3112+2464+3077+1523)+220417/220417*10682+5/5*901/901*11000)+106/106*5/5*(13103*0+94259*0+7/7*94359*0+11/11*104295+6171/6171*5684*0+17184+11/11*904/904*3932.5)+30617/30617*(1750*0+6/6*249571*0+7/7*256226+11/11*904/904*6655)+141510/141510*(15000*0+10/10*383055*0+11/11*432060+11/11*904/904*33123.75)+(280417/280417+200517/200517)*6655+130517/130517*(40750*0+6/6*118190+901/901*1511)+6/6*170617/170617*(13731*0+7/7*20386+11/11*904/904*3630)+9/9*1609/1609*((747+4134+179685)*0+185839*0+10/10*202474*0+12/12*204449+11/11*904/904*12402.5)+10/10*71017/71017*60662+11/11*20917/20917*3327.5+101217/101217*8470+41117/41117*(30585*0+12/12*31825)+11/11*241217/241217*(525*0+12/12*(159633+904/904*70056)-1929340.25*0))*0+3112/3112*1788517</f>
        <v>1788517</v>
      </c>
      <c r="L69" s="218"/>
      <c r="M69" s="377">
        <f>3112/3112*(6112/6112*(104295+256226+2000+31825+60662+8825+3250+3112+956+118190+432060+204449+20386+2000+3146+6655+10682+3077+26705+159633+79561+20270+6655+1523+392016/392016*178709+5000)+6171/6171*(17184+12526+6655+2300)+140823.25*0)-K69</f>
        <v>0</v>
      </c>
      <c r="N69" s="215"/>
      <c r="O69" s="219" t="s">
        <v>53</v>
      </c>
      <c r="P69" s="427"/>
      <c r="Q69" s="428"/>
      <c r="R69" s="428"/>
      <c r="S69" s="428"/>
      <c r="T69" s="428">
        <f>265</f>
        <v>265</v>
      </c>
      <c r="U69" s="428">
        <f>280+50-T69</f>
        <v>65</v>
      </c>
      <c r="V69" s="428">
        <v>56</v>
      </c>
      <c r="W69" s="427">
        <f t="shared" si="70"/>
        <v>386</v>
      </c>
      <c r="X69" s="93">
        <f>4/4*20000*0+5/5*185000*0+6/6*265000*0+11/11*386000</f>
        <v>386000</v>
      </c>
      <c r="Y69" s="213">
        <f>X69/(W69*1000)</f>
        <v>1</v>
      </c>
      <c r="Z69" s="263"/>
      <c r="AA69" s="237">
        <f t="shared" si="71"/>
        <v>115199.75</v>
      </c>
      <c r="AB69" s="93">
        <f>910/910*(241216/241216*(6112/6112*(24205*0+3/3*26705)+6171/6171*6655)+250217/250217*(2788*0+3/3*(6112/6112*76661*0+4/4*79561+6171/6171*2300)+392016/392016*(50000*0+10/10*81097*0+11/11*155065))+3/3*(1002/1002*8825+101110/101110*3250+170916/170916*2000+2802/2802*20270+2014/2014*(6171/6171*2306/2306*5879)))+40616/40616*2000+4/4*(2014/2014*(3112+2464+3077+1523)+220417/220417*10682+5/5*901/901*11000)+106/106*5/5*(13103*0+94259*0+7/7*94359*0+11/11*104295+6171/6171*5684*0+17184+11/11*904/904*3932.5)+30617/30617*(1750*0+6/6*249571*0+7/7*256226+11/11*904/904*6655)+141510/141510*(15000*0+10/10*383055*0+11/11*432060+11/11*904/904*33123.75)+(280417/280417+200517/200517)*6655+130517/130517*(40750*0+6/6*118190+901/901*1511)+6/6*170617/170617*(13731*0+7/7*20386+11/11*904/904*3630)+9/9*1609/1609*((747+4134+179685)*0+185839*0+10/10*202474+11/11*904/904*12402.5)+10/10*71017/71017*60662+11/11*20917/20917*3327.5+101217/101217*8470+41117/41117*30585+11/11*241217/241217*525</f>
        <v>1673317.25</v>
      </c>
      <c r="AC69" s="85" t="s">
        <v>162</v>
      </c>
      <c r="AD69" s="201" t="s">
        <v>234</v>
      </c>
      <c r="AE69" s="201" t="s">
        <v>265</v>
      </c>
      <c r="AF69" s="201" t="s">
        <v>315</v>
      </c>
      <c r="AG69" s="201" t="s">
        <v>385</v>
      </c>
      <c r="AH69" s="201" t="s">
        <v>421</v>
      </c>
      <c r="AI69" s="229"/>
      <c r="AJ69" s="229" t="s">
        <v>531</v>
      </c>
      <c r="AK69" s="255" t="s">
        <v>576</v>
      </c>
      <c r="AL69" s="201" t="s">
        <v>700</v>
      </c>
      <c r="AM69" s="255" t="s">
        <v>679</v>
      </c>
      <c r="AN69" s="73">
        <f>AA69-1.2/1.2*((24205+6655)+2788+392016/392016*50000)*0-3/3*(2500+(73873+2300)+8825+3250+2000+20270+2014/2014*(5879)+2000)*0-4/4*(2900-5879+2014/2014*10176+10682)*0-5/5*((106/106*483+4620+8000+6171/6171*5684)+306/306*1750+141510/141510*15000+6655+((8000+28750+4000+3103/3103*5879)+1511+11000))*0-6/6*(247821+77440+13731+6655+(78390+11500)+2766)*0-7/7*(6655*2+100)*0-9/9*(747+4134+3*59895+1273)*0-10/10*(60662+368055+16635+31097)*0-11/11*((3932.5+3327.5+6655+8470+33123.75+12402.5+3630)+9936+(524+2390+27671)+(6655+42350)+525+(50000+23968))*0-12/12*(23644+1975+25000+19000+11638+21538+69258+21274+3240+3146-13746+70056)</f>
        <v>-140823.25</v>
      </c>
      <c r="AO69" s="328">
        <f t="shared" si="72"/>
        <v>0</v>
      </c>
      <c r="AP69" s="343">
        <f>4/4*20000*0+5/5*185000*0+6/6*265000*0+11/11*386000</f>
        <v>386000</v>
      </c>
      <c r="AQ69" s="118"/>
      <c r="AR69" s="119">
        <f>AO69-1.2/1.2*0-4/4*20000*0-5/5*(125000+40000)*0-6/6*80000*0-11/11*(10+5+4*10+20+10+30+6)*1000*0</f>
        <v>0</v>
      </c>
      <c r="AU69" s="141">
        <f t="shared" si="73"/>
        <v>1788517</v>
      </c>
      <c r="AV69" s="463">
        <f>1.2/1.2*36913.46*0+3/3*65722.79*0+4/4*190992.38*0+5/5*229075.49*0+6/6*255793.71*0+7/7*370305.71*0+8/8*398345.41*0+9/9*427188.73*0+10/10*549619.01*0+11/11*577914.26*0+12/12*720554.31*0+2017/2017*1.2/1.2*52043.51*0+3/3*84101.71*0+4/4*229520.94*0+5/5*272143.77*0+6/6*307266.6*0+7/7*327266.6*0+8/8*457263.89*0+9/9*485603.41*0+10/10*626244.77*0+11/11*683062.22*0+12/12*834896.14</f>
        <v>834896.14</v>
      </c>
      <c r="AW69" s="143">
        <f t="shared" si="74"/>
        <v>2623413.14</v>
      </c>
      <c r="AX69" s="191" t="s">
        <v>183</v>
      </c>
      <c r="AY69" s="185" t="s">
        <v>53</v>
      </c>
      <c r="AZ69" s="144">
        <f t="shared" si="75"/>
        <v>386000</v>
      </c>
      <c r="BA69" s="463">
        <f>1.2/1.2*61570.3*0+3/3*109566.79*0+4/4*154935.34*0+5/5*203213.66*0+6/6*249498.21*0+8/8*288688.59*0+9/9*330885.42*0+10/10*371326.16*0+11/11*415933.59*0+12/12*460379.04*0+2017/2017*1.2/1.2*82429.31*0+3/3*132790.97*0+4/4*195038.34*0+5/5*254530.08*0+6/6*313949.93*7/7*0+8/8*347842.27*0+9/9*392686.88*0+10/10*449856.43*0+11/11*521226.01*0+12/12*578198.86</f>
        <v>578198.86</v>
      </c>
      <c r="BB69" s="145">
        <f t="shared" si="76"/>
        <v>964198.86</v>
      </c>
      <c r="BC69" s="146">
        <f t="shared" si="77"/>
        <v>-1659214.2800000003</v>
      </c>
      <c r="BD69" s="369">
        <f t="shared" si="78"/>
        <v>0</v>
      </c>
    </row>
    <row r="70" spans="1:56" ht="33.75">
      <c r="A70" s="26" t="s">
        <v>97</v>
      </c>
      <c r="B70" s="348"/>
      <c r="C70" s="388">
        <f>6/6*50*0+6121/6121*(3000*0+732/732*1000+23/23*1500+500)+6123/6123*1000</f>
        <v>4000</v>
      </c>
      <c r="D70" s="389"/>
      <c r="E70" s="389">
        <v>-750</v>
      </c>
      <c r="F70" s="389">
        <f>99/99*(6111/6111*402.5+6125/6125*346)</f>
        <v>748.5</v>
      </c>
      <c r="G70" s="389"/>
      <c r="H70" s="389">
        <f>6121/6121*-1500+6122/6122*119.2+6125/6125*196+6130/6130*194.8+732/732*369+6171/6171*23.4</f>
        <v>-597.6</v>
      </c>
      <c r="I70" s="389">
        <v>247.6</v>
      </c>
      <c r="J70" s="388">
        <f t="shared" si="69"/>
        <v>3648.5</v>
      </c>
      <c r="K70" s="93">
        <f>(732/732*(11/11*250502*0+12/12*1476402)+910/910*(6/6*(6111/6111*452491.6+6122/6122*9/9*213200*3639/3639+6125/6125*(345927*0+7/7*461646*0+10/10*541807))+8/8*(3639/3639*6171/6171*(93779+60614+58807-213200)+(6130/6130*194810+6125/6125*80161*0+6171/6171*(23560*0+270992.9))))+10/10*904/904*6121/6121*90000*0+11/11*(6121/6121*235200*0+443670+6122/6122*119219+6123/6123*12/12*279366.62+910/910*(452491.6+60000)-(452491.6+1899104.9+332419+541807+194810)*0))*0+3112/3112*(904/904*(443670+119219+279366.62+194810+732/732*1476402+6171/6171*270992.9)+910/910*(452491.6+213200+541807+6349/6349*60000))</f>
        <v>4051959.12</v>
      </c>
      <c r="L70" s="213">
        <f>K70/(J70*1000)</f>
        <v>1.1105821899410717</v>
      </c>
      <c r="M70" s="337">
        <f>(4/4*(443670+119219+279366.62+194810+732/732*1476402+6171/6171*270992.9)+10/10*(452491.6+213200+541807+6349/6349*60000+3639/3639*6171/6171*(93779+60614+58807-213200)))*0+4051959.12-K70</f>
        <v>0</v>
      </c>
      <c r="N70" s="215"/>
      <c r="O70" s="219" t="s">
        <v>43</v>
      </c>
      <c r="P70" s="427"/>
      <c r="Q70" s="428"/>
      <c r="R70" s="428">
        <v>69</v>
      </c>
      <c r="S70" s="428"/>
      <c r="T70" s="428"/>
      <c r="U70" s="428">
        <f>(X70+472)/1000-R70</f>
        <v>76.34700000000001</v>
      </c>
      <c r="V70" s="428"/>
      <c r="W70" s="427">
        <f t="shared" si="70"/>
        <v>145.347</v>
      </c>
      <c r="X70" s="93">
        <f>69006+10/10*74522*0+12/12*(144875-69006)</f>
        <v>144875</v>
      </c>
      <c r="Y70" s="213">
        <f>X70/(W70*1000)</f>
        <v>0.9967525989528507</v>
      </c>
      <c r="Z70" s="263"/>
      <c r="AA70" s="237">
        <f t="shared" si="71"/>
        <v>798598.52</v>
      </c>
      <c r="AB70" s="93">
        <f>732/732*3/3*(16940+6/6*(38955+224635)+8/8*24200+9/9*(24200+4226+97133)+10/10*(708491+3630)+11/11*250502)+(6/6*(6111/6111*452491.6+6122/6122*9/9*213200*3639/3639*0+6125/6125*(345927*0+7/7*461646*0+10/10*541807))+8/8*(3639/3639*6171/6171*(93779+60614+58807)+6130/6130*194810+6125/6125*80161+6171/6171*23560))+10/10*904/904*6121/6121*90000*0+11/11*(6121/6121*235200+6122/6122*119219-(452491.6+1899104.9+332419+541807+194810)*0)</f>
        <v>3253360.6</v>
      </c>
      <c r="AC70" s="85">
        <f>36417/(1354927+939627)*(1354927*0+918123)</f>
        <v>14571.58353693136</v>
      </c>
      <c r="AD70" s="203" t="s">
        <v>235</v>
      </c>
      <c r="AE70" s="203"/>
      <c r="AF70" s="203"/>
      <c r="AG70" s="255" t="s">
        <v>386</v>
      </c>
      <c r="AH70" s="255" t="s">
        <v>424</v>
      </c>
      <c r="AI70" s="229" t="s">
        <v>471</v>
      </c>
      <c r="AJ70" s="229" t="s">
        <v>532</v>
      </c>
      <c r="AK70" s="255" t="s">
        <v>579</v>
      </c>
      <c r="AL70" s="255" t="s">
        <v>626</v>
      </c>
      <c r="AM70" s="203" t="s">
        <v>701</v>
      </c>
      <c r="AN70" s="73">
        <f>AA70-3/3*16940*0-6/6*(452491.6+345927+38955+224635)*0-7/7*(70124+45595)*0-8/8*(3639/3639*(93779+60614+58807)+6130/6130*194810+6125/6125*80161+6171/6171*23560+732/732*24200)*0-9/9*(732/732*(24200+4226+97133))*0-10/10*(90000+(3630+708491)+80161)*0-11/11*(250502+119219+145200)*0-12/12*(732/732*1225900+208470+279366.62-(194810+80161+23560))</f>
        <v>-616607.1000000001</v>
      </c>
      <c r="AO70" s="328">
        <f t="shared" si="72"/>
        <v>1347</v>
      </c>
      <c r="AP70" s="343">
        <f>69006+10/10*74522</f>
        <v>143528</v>
      </c>
      <c r="AQ70" s="118" t="s">
        <v>711</v>
      </c>
      <c r="AR70" s="119">
        <f>AO70-1.2/1.2*(52062*0*2329/2329+69006)*0-3/3*0-10/10*74522*0-12/12*1347</f>
        <v>0</v>
      </c>
      <c r="AU70" s="141">
        <f t="shared" si="73"/>
        <v>4051959.12</v>
      </c>
      <c r="AV70" s="480">
        <f>(12/12*(1773617.7+309978.1)*0+2017/2017*1.2/1.2*(25312.6+46156.8)*0+3/3*(57480.6+53815.1)*0+4/4*(57480.6+62535.5)*0+5/5*(777439.45+74947)*0+6/6*(779605.45+83454.6)*0+7/7*(807841.6+97365.1)*0+8/8*(809478.17+110966.5)*0+9/9*(809478.34+115424.5)*0+10/10*(809876.11+124132.5)*0+11/11*(824867.86+131509.5)*0+12/12*(875006.77+146776.3))+4522/4522*(12/12*342516.55*0+2017/2017*1.2/1.2*45249.97*0+3/3*36926.4*0+4/4*60404.4*0+5/5*68088.46*0+6/6*70188.73*0+7/7*71022.42*0+8/8*97277.83*0+9/9*97818.31*0+10/10*125631.37*0+11/11*189999.85*0+12/12*229391.35)+1108/1108*(12/12*18583*0+2017/2017*1.2/1.2*650*0+3/3*5267*0+4/4*5589*0+5/5*5857*0+6/6*9471*0+7/7*9596*0+8/8*15476*0+9/9*15778*0+10/10*15778*0+11/11*18169*0+12/12*18455)+602/602*(12/12*141343)*0+2017/2017*1.2/1.2*5000*0+3/3*9796.5*0+4/4*40732.5*0+5/5*48612.5*0+6/6*45238.12*0+7/7*50138.12*0+8/8*55038.12*0+9/9*128566.12*0+10/10*133466.12*0+11/11*178197.12*0+12/12*189123.12</f>
        <v>1458752.54</v>
      </c>
      <c r="AW70" s="143">
        <f t="shared" si="74"/>
        <v>5510711.66</v>
      </c>
      <c r="AX70" s="192" t="s">
        <v>184</v>
      </c>
      <c r="AY70" s="185" t="s">
        <v>43</v>
      </c>
      <c r="AZ70" s="144">
        <f t="shared" si="75"/>
        <v>144875</v>
      </c>
      <c r="BA70" s="480">
        <f>2016/2016*987869.46*0+2017/2017*1.2/1.2*125190.46*0+468308.07*0+612240*0+639149.7*0+697221.1*0+831233.06*0+859770.99*0+942639.27*0+1076743.31*0+1105673.35*0+12/12*1144353.41+4522/4522*(2016/2016*127306.04*0+2017/2017*1.2/1.2*24842.54*0+3/3*28602.82*0+4/4*43478.72*0+5/5*66346.07*0+6/6*99246.84*0+7/7*114130.91*0+8/8*119945.84*0+9/9*128359.03*0+10/10*129615.16*0+11/11*133334.17*12/12)+3632/3632*(2016/2016*36720*0+2017/2017*1.2/1.2*1938*0+8970*0+11220*0+21444*0+6/6*25236*0+7/7*28038*0+8/8*31770*0+10/10*37110*0+11/11*41754*0+12/12*43026)+1108/1108*(12/12*123300.55*0+2017/2017*1.2/1.2*3/3*4/4*5/5*61277.57*0+6/6*79107.15*0+7/7*84986.16*0+8/8*92912.17*0+9/9*105272.64*0+113997.77*0+127012.74*0+12/12*137312.99)+602603/602603*((2016/2016*6/6*(355318.31+724499.25)*0+7/7*(320358.81+966556)*0+8/8*(338672.81+966556)*0+9/9*(356986.81+1598352.5)*0+10/10*(584491.68+(1821693.3*0+1417832.3))*0+11/11*(658042.43*0+12/12*734593.43+1503341.8)*0+2017/2017*1.2/1.2*(472492.98+0)*0+3/3*(0+783950.79*0+(0+976284.79)*0+1134080.79*0+(15000*0+11/11*135000+1297975.97*0+1561560.22*0+1615111.22*0+9/9*5172889.74*0+10/10*5458315.73*0+5511866.73*0+12/12*5650455.23))))</f>
        <v>7243481.800000001</v>
      </c>
      <c r="BB70" s="145">
        <f t="shared" si="76"/>
        <v>7388356.800000001</v>
      </c>
      <c r="BC70" s="146">
        <f t="shared" si="77"/>
        <v>1877645.1400000006</v>
      </c>
      <c r="BD70" s="369">
        <f t="shared" si="78"/>
        <v>0</v>
      </c>
    </row>
    <row r="71" spans="1:56" ht="45" customHeight="1">
      <c r="A71" s="26" t="s">
        <v>30</v>
      </c>
      <c r="B71" s="348"/>
      <c r="C71" s="388"/>
      <c r="D71" s="389"/>
      <c r="E71" s="389"/>
      <c r="F71" s="389"/>
      <c r="G71" s="389"/>
      <c r="H71" s="389"/>
      <c r="I71" s="389"/>
      <c r="J71" s="388">
        <f t="shared" si="69"/>
        <v>0</v>
      </c>
      <c r="K71" s="93">
        <f>901/901*(3612/3612*(6/6*(1198+7/7*599-1797)*0+8/8*599*0+9/9*1198*0+10/10*1797*0+11/11*2396*0*12/12)+9021/9021*1.21*(3-5/5*2+6/6+7/7-3)*0+8/8*1.21*0+9/9*2.42*0+10/10*3.63*0+11/11*4.84*0*12/12)+904/904*(2/2*(-7602*0+3/3*-6102*0+6/6*-4602*0+8/8*2559*0+9/9*4059)+4/4*(2842.35*0+3/3*3844.35*0+4/4*4345.35*0+5/5*4888.35*0+6/6*5389.35*0+7/7*5890.35*0+8/8*6391.35*0+9/9*6892.35*0+10/10*7393.35*0+11/11*29487.35*0+12/12*29988.35)+5/5*(480*0+4/4*960*0+7/7*1440*0+8/8*1545*0+11/11*2045)+75/75*1028.5+153/153*(2207*0+5/5*2657*0+8/8*3107*0+11/11*3557)+1379/1379*(((405.35+6/6*400)+3/3*141)*0+9/9*37842.21*0+12/12*38242.21)+1517/1517*(501*0+3/3*1503*0+4/4*2004*0+5/5*2505*0+6/6*3006*0+7/7*8935*0+8/8*9436*0+9/9*9937*0+10/10*10438*0+11/11*10939*0+12/12*11440)+2105/2105*(620*0+3/3*1308*0+8/8*2384*0+11/11*3304)+3612/3612*(192*0+3/3*576*0+4/4*768*0+5/5*1036*0+6/6*1152*0+7/7*1344*0+8/8*1536*0+9/9*1728*0+10/10*1920*0+11/11*2112*0+12/12*2304)+192108/192108*(9049*0+10/10*17975)+230614/230614*(16900*0+4/4*44101*(0+5/5)*0+6/6*57171*0+7/7*44099*(0+9/9*0)+11/11*12526*0+8/8*57169*(0+12/12))+49980*0)+9/9*1100/1100*7886+1368/1368*700*(6/6+9/9)+1364/1364*10/10*4631</f>
        <v>185029.06</v>
      </c>
      <c r="L71" s="218"/>
      <c r="M71" s="220">
        <f>SUM(K60:K71)-K73</f>
        <v>0</v>
      </c>
      <c r="N71" s="215"/>
      <c r="O71" s="219" t="s">
        <v>44</v>
      </c>
      <c r="P71" s="427"/>
      <c r="Q71" s="428"/>
      <c r="R71" s="428">
        <v>772</v>
      </c>
      <c r="S71" s="428"/>
      <c r="T71" s="428"/>
      <c r="U71" s="428"/>
      <c r="V71" s="428"/>
      <c r="W71" s="427">
        <f t="shared" si="70"/>
        <v>772</v>
      </c>
      <c r="X71" s="93">
        <f>2/2*(771579.85*0+7/7*777519.85*0+9/9*778519.85*0+10/10*727307.85*0+11/11*(728307.85*0+12/12*1010279.8+1609/1609*10500)+8/8*141510/141510*26470*0-(119576*0+3/3*109869*0+4/4*105894*0+5/5*102795*0+6/6*(60+96637)*0+7/7*130347*0+8/8*135282*0+9/9*(117534-71476)*0+10/10*-114834*0))+12/12*(306/306*3720+1712/1712*12120+2412/2412*8596)</f>
        <v>1045215.8</v>
      </c>
      <c r="Y71" s="62">
        <f>X71/(W71*1000)</f>
        <v>1.353906476683938</v>
      </c>
      <c r="Z71" s="443">
        <f>X71+X72-(738807.85-99524)</f>
        <v>405931.95000000007</v>
      </c>
      <c r="AA71" s="237">
        <f t="shared" si="71"/>
        <v>44536.16</v>
      </c>
      <c r="AB71" s="93">
        <f>901/901*(3612/3612*(6/6*(1198+7/7*599-1797)*0+8/8*599*0+9/9*1198*0+10/10*1797*0+11/11*2396)+9021/9021*1.21*(3-5/5*2+6/6+7/7-3)*0+8/8*1.21*0+9/9*2.42*0+10/10*3.63*0+11/11*4.84)+904/904*(2/2*(-7602*0+3/3*-6102*0+6/6*-4602*0+8/8*2559*0+9/9*4059)+4/4*(2842.35*0+3/3*3844.35*0+4/4*4345.35*0+5/5*4888.35*0+6/6*5389.35*0+7/7*5890.35*0+8/8*6391.35*0+9/9*6892.35*0+10/10*7393.35*0+11/11*29487.35)+5/5*(480*0+4/4*960*0+7/7*1440*0+8/8*1545*0+11/11*2045)+75/75*1028.5+153/153*(2207*0+5/5*2657*0+8/8*3107*0+11/11*3557)+1379/1379*(((405.35+6/6*400)+3/3*141)*0+9/9*37842.21)+1517/1517*(501*0+3/3*1503*0+4/4*2004*0+5/5*2505*0+6/6*3006*0+7/7*8935*0+8/8*9436*0+9/9*9937*0+10/10*10438*0+11/11*10939)+2105/2105*(620*0+3/3*1308*0+8/8*2384*0+11/11*3304)+3612/3612*(192*0+3/3*576*0+4/4*768*0+5/5*1036*0+6/6*1152*0+7/7*1344*0+8/8*1536*0+9/9*1728*0+10/10*1920*0+11/11*2112)+192108/192108*(9049*0+10/10*17975)+230614/230614*(16900*0+4/4*44101*(0+5/5)*0+6/6*57171*0+7/7*44099*(0+9/9*0)+11/11*12526+8/8*57169*0)+49980*0)+9/9*1100/1100*7886+1368/1368*700*6/6*(0+9/9)+1364/1364*10/10*4631</f>
        <v>140492.9</v>
      </c>
      <c r="AC71" s="85" t="s">
        <v>160</v>
      </c>
      <c r="AD71" s="201" t="s">
        <v>222</v>
      </c>
      <c r="AE71" s="201" t="s">
        <v>286</v>
      </c>
      <c r="AF71" s="201" t="s">
        <v>333</v>
      </c>
      <c r="AG71" s="203" t="s">
        <v>387</v>
      </c>
      <c r="AH71" s="255" t="s">
        <v>420</v>
      </c>
      <c r="AI71" s="229" t="s">
        <v>477</v>
      </c>
      <c r="AJ71" s="229" t="s">
        <v>542</v>
      </c>
      <c r="AK71" s="255" t="s">
        <v>577</v>
      </c>
      <c r="AL71" s="201" t="s">
        <v>702</v>
      </c>
      <c r="AM71" s="255" t="s">
        <v>703</v>
      </c>
      <c r="AN71" s="73">
        <f>AA71-1.2/1.2*((599+1.21)+904/904*((2/2*-7602)+4/4*2842.35+5/5*480+75/75*1028.5+153/153*2207+1379/1379*405.35+1517/1517*501+2105/2105*620+3612/3612*192+9049+16900))*0-3/3*(904/904*(2/2*1500+4/4*1002+688+384+141+1002)-600.21)*0-4/4*(599+1.21)*0-4/4*(501+480+501+192+27201+5879)*0-5/5*((-3+1+6/6)*(599+1.21)+4/4*(501+42)+153/153*450+1517/1517*501+3612/3612*268-5879)*0-6/6*(599+1.21+1500+501+400+501+116+13070)*0-7/7*(-1198-2.42+501+480+5428+501+192-13072)*0-8/8*(599+1.21+7161+105+450+2*501+192+1076+13070)*0-9/9*(599+1.21+1500+501+(2649.86+85+32654+1507)+501+192-13070+4/4*7886+3009/3009*700)*0-10/10*(599+1.21+501+501+192+8926+4631)*0-11/11*(600.21+4/4*(4750+16843+501)+500+450+501+920+192-31573)*0-12/12*(-2400.84+501+400+501+(13070+31765))</f>
        <v>700</v>
      </c>
      <c r="AO71" s="328">
        <f t="shared" si="72"/>
        <v>170573.95000000007</v>
      </c>
      <c r="AP71" s="342">
        <f>2/2*(771579.85*0+7/7*777519.85*0+9/9*778519.85*0+10/10*727307.85*0+11/11*(728307.85+1609/1609*10500)+8/8*141510/141510*26470*0+1609/1609*10500-(119576*0+3/3*109869*0+4/4*105894*0+5/5*102795*0+6/6*(60+96637)*0+7/7*130347*0+8/8*135282*0+9/9*(117534-71476)*0+10/10*-114834))+9/9*1609/1609*10500</f>
        <v>874641.85</v>
      </c>
      <c r="AQ71" s="118" t="s">
        <v>714</v>
      </c>
      <c r="AR71" s="119">
        <f>AO71-1.2/1.2*((771579.85*0+(599+(3350+36.8)+3113/3113*410135.92+3141/3141*305396.13+4424/4424*52062))-119576)*0-3/3*9707*0-4/4*3975*0-5/5*3099*0-6/6*6098*0-7/7*(5940-33650)*0-8/8*(26470-4935)*0-9/9*(1000+71476+1609/1609*10500+17748)*0-10/10*(-141510/141510*(-14946-10300-73400)-(100+400+750+200+100)-3386)*0-12/12*170573.95</f>
        <v>0</v>
      </c>
      <c r="AU71" s="141">
        <f t="shared" si="73"/>
        <v>185029.06</v>
      </c>
      <c r="AV71" s="481">
        <f>502/502*71829.92*0+3/3*73829.92*0+7/7*74609.92*0+2017/2017*1.2/1.2*1002/1002*68387.34*0+3/3*77041.34+5163/5163*(710*0+3/3*3843*0+4/4*4228*0+5/5*4598*0+6/6*8022*0+7/7*8397*0+8/8*8832*0+9/9*11748*0+10/10*12093*0+11/11*12453*0+12/12*16308*0+2017/2017*1.2/1.2*705*0+3/3*4849*0+4/4*5194*0+5/5*5599*0+6/6*9471*0+7/7*9816*0+8/8*10176*0+9/9*13173*0+10/10*13563*0+11/11*13698*0+12/12*16277)+5164/5164*(755*0+3/3*3722*0+4/4*4092*0+5/5*4507*0+6/6*7207*0+7/7*7582*0+8/8*8067*0+9/9*11606*0+10/10*11996*0+11/11*12386*0+12/12*15508*0+2017/2017*1.2/1.2*780*0+3/3*4124*0+4/4*4484*0+5/5*4829*0+6/6*7740*0+7/7*8130*0+8/8*8520*0+9/9*12278*0+10/10*12638*0+11/11*12788*0+12/12*14376)+6171/6171*4/4*310038*0+7/7*626697*0+10/10*975095*0+12/12*1323832*0+2017/2017*(1.2/1.2*0+3/3*5700*0+4/4*339165*0+8/8*663158*0+10/10*1082136*0+12/12*1445959)</f>
        <v>1553653.34</v>
      </c>
      <c r="AW71" s="143">
        <f t="shared" si="74"/>
        <v>1738682.4000000001</v>
      </c>
      <c r="AX71" s="193" t="s">
        <v>185</v>
      </c>
      <c r="AY71" s="185" t="s">
        <v>44</v>
      </c>
      <c r="AZ71" s="144">
        <f t="shared" si="75"/>
        <v>1045215.8</v>
      </c>
      <c r="BA71" s="481">
        <f>502/502*89464.45*0+2017/2017*1.2/1.2*(0+9/9*80037.98)+6171/6171*(3789.87*0+3/3*6725.24*0+4/4*10039.11*0+5/5*13840.55*0+6/6*17265.15*0+7/7*18721.27*0+8/8*22584.69*0+9/9*26753.87*0+10/10*29049.61*0+11/11*31893.25*0+12/12*33638.6*0+2017/2017*1.2/1.2*7187.21*0+3/3*10301.08*0+4/4*16467.68*0+5/5*20644.3*0+6/6*23791.24*0+7/7*26022.52*0+8/8*31128.02*0+9/9*34466.68*0+10/10*38709.41*0+11/11*42262.1*0+12/12*43794.25)</f>
        <v>123832.23</v>
      </c>
      <c r="BB71" s="145">
        <f t="shared" si="76"/>
        <v>1169048.03</v>
      </c>
      <c r="BC71" s="146">
        <f t="shared" si="77"/>
        <v>-569634.3700000001</v>
      </c>
      <c r="BD71" s="369">
        <f t="shared" si="78"/>
        <v>0</v>
      </c>
    </row>
    <row r="72" spans="1:56" ht="15">
      <c r="A72" s="26"/>
      <c r="B72" s="348"/>
      <c r="C72" s="390"/>
      <c r="D72" s="389"/>
      <c r="E72" s="389"/>
      <c r="F72" s="389"/>
      <c r="G72" s="389"/>
      <c r="H72" s="389"/>
      <c r="I72" s="389"/>
      <c r="J72" s="390"/>
      <c r="K72" s="93"/>
      <c r="L72" s="56"/>
      <c r="O72" s="20"/>
      <c r="P72" s="390"/>
      <c r="Q72" s="389"/>
      <c r="R72" s="389"/>
      <c r="S72" s="389"/>
      <c r="T72" s="389"/>
      <c r="U72" s="389"/>
      <c r="V72" s="389"/>
      <c r="W72" s="390"/>
      <c r="X72" s="233">
        <f>777519.85*0+9/9*778519.85*0+10/10*727307.85*0+11/11*(738807.85*0+728307.85)*0+12/12*1045215.8-102637*0-7/7*130347*0-8/8*135282*0-9/9*117534*0-10/10*114834*0-11/11*99524*0+8/8*141510/141510*(26470*0+9/9*97946)*0+9/9*1609/1609*10500*0-X71</f>
        <v>0</v>
      </c>
      <c r="Y72" s="56"/>
      <c r="Z72" s="167"/>
      <c r="AA72" s="241"/>
      <c r="AB72" s="93"/>
      <c r="AC72" s="85"/>
      <c r="AD72" s="85"/>
      <c r="AE72" s="85"/>
      <c r="AF72" s="85"/>
      <c r="AG72" s="85"/>
      <c r="AH72" s="85"/>
      <c r="AI72" s="295"/>
      <c r="AJ72" s="332">
        <f>((16940+6/6*(38955+224635)+8/8*24200)*0+9/9*(24200+4226+97133))</f>
        <v>125559</v>
      </c>
      <c r="AK72" s="482"/>
      <c r="AL72" s="482"/>
      <c r="AM72" s="482"/>
      <c r="AN72" s="241"/>
      <c r="AP72" s="345">
        <f>777519.85*0+9/9*778519.85*0+10/10*727307.85*0+11/11*(738807.85*0+728307.85)-102637*0-7/7*130347*0-8/8*135282*0-9/9*117534*0-10/10*114834*0-11/11*99524+8/8*141510/141510*(26470*0+9/9*97946)*0+9/9*1609/1609*10500-AP71</f>
        <v>-235358</v>
      </c>
      <c r="AQ72" s="147">
        <f>-117534+135282-17748+97946-26470</f>
        <v>71476</v>
      </c>
      <c r="AU72" s="141">
        <f t="shared" si="73"/>
        <v>0</v>
      </c>
      <c r="AV72" s="483">
        <f>(3/3*410400+(5/5*7000+7/7*26800)*0+9/9*56500*0+10/10*72629*0+11/11*82589*0+12/12*87089)*0+2017/2017*(1.2/1.2*21477*0+4/4*31477+3/3*24278*0+5/5*40613*0+6/6*63050*0+7/7*85317.54+8/8*14000+9/9*1000+10/10*20000+11/11*(1060/1060*6534+282/282*3500+3332638/3332638*(6750-2250)))+12/12*-2534</f>
        <v>163794.53999999998</v>
      </c>
      <c r="AW72" s="143">
        <f t="shared" si="74"/>
        <v>163794.53999999998</v>
      </c>
      <c r="AX72" s="268" t="s">
        <v>186</v>
      </c>
      <c r="AY72" s="185"/>
      <c r="AZ72" s="144">
        <f t="shared" si="75"/>
        <v>0</v>
      </c>
      <c r="BA72" s="484">
        <f>(1.2/1.2*(12422360+300000+18900)+3/3*115000+4/4*65000+5/5*170000+8/8*(12472855.2+(415850*0+390000+25850)+364915/364915*(1.2/1.2*12422360*(-1)+8/8*11806375.21)+9/9*(2001964.36+1459581.9)))*0+10/10*29793556.67*0+11/11*29929006.67*0+2017/2017*1.2/1.2*385540*0+3/3*448130*0+4/4*501880*0+(5/5*2257330*0+6/6*161000*0)+9/9*2475640+8/8*(110790+165280)+10/10*6620000+11/11*(399917/399917*260000+411217/411217*18050+411417/411417*150000+411517/411517*160000)</f>
        <v>9959760</v>
      </c>
      <c r="BB72" s="145">
        <f>AZ72+BA72</f>
        <v>9959760</v>
      </c>
      <c r="BC72" s="146">
        <f>BB72-AW72</f>
        <v>9795965.46</v>
      </c>
      <c r="BD72" s="369">
        <f t="shared" si="78"/>
        <v>0</v>
      </c>
    </row>
    <row r="73" spans="1:56" ht="15">
      <c r="A73" s="35" t="s">
        <v>42</v>
      </c>
      <c r="B73" s="359"/>
      <c r="C73" s="399">
        <f>SUM(C60:C72)</f>
        <v>45789</v>
      </c>
      <c r="D73" s="399">
        <f aca="true" t="shared" si="79" ref="D73:J73">SUM(D60:D72)</f>
        <v>0</v>
      </c>
      <c r="E73" s="399">
        <f>SUM(E60:E72)</f>
        <v>-74</v>
      </c>
      <c r="F73" s="399">
        <f t="shared" si="79"/>
        <v>748.5</v>
      </c>
      <c r="G73" s="399">
        <f t="shared" si="79"/>
        <v>290.4</v>
      </c>
      <c r="H73" s="399">
        <f t="shared" si="79"/>
        <v>-597.6</v>
      </c>
      <c r="I73" s="399">
        <f t="shared" si="79"/>
        <v>5458.3</v>
      </c>
      <c r="J73" s="399">
        <f t="shared" si="79"/>
        <v>51614.6</v>
      </c>
      <c r="K73" s="97">
        <f>SUM(K60:K72)</f>
        <v>52614135</v>
      </c>
      <c r="L73" s="66">
        <f>K73/(J73*1000)</f>
        <v>1.0193653539889875</v>
      </c>
      <c r="M73" s="466">
        <f>1/1*1525463.87+2/2*593049.27+3/3*34539920.88+4/4*6983471.23+5/5*16058.7+6/6*185720.35+7/7*18566.28+10/10*8751884.42-52614135*0-K73</f>
        <v>0</v>
      </c>
      <c r="O73" s="4"/>
      <c r="P73" s="399">
        <f>SUM(P60:P72)</f>
        <v>18077</v>
      </c>
      <c r="Q73" s="399">
        <f aca="true" t="shared" si="80" ref="Q73:W73">SUM(Q60:Q72)</f>
        <v>0</v>
      </c>
      <c r="R73" s="399">
        <f>SUM(R60:R72)</f>
        <v>841</v>
      </c>
      <c r="S73" s="399">
        <f t="shared" si="80"/>
        <v>0</v>
      </c>
      <c r="T73" s="399">
        <f t="shared" si="80"/>
        <v>415</v>
      </c>
      <c r="U73" s="399">
        <f t="shared" si="80"/>
        <v>178.347</v>
      </c>
      <c r="V73" s="399">
        <f t="shared" si="80"/>
        <v>89.3</v>
      </c>
      <c r="W73" s="399">
        <f t="shared" si="80"/>
        <v>19600.647</v>
      </c>
      <c r="X73" s="97">
        <f>SUM(X60:X72)</f>
        <v>19857692.869999997</v>
      </c>
      <c r="Y73" s="66">
        <f aca="true" t="shared" si="81" ref="Y73:Y79">X73/(W73*1000)</f>
        <v>1.0131141523032376</v>
      </c>
      <c r="Z73" s="79">
        <f>(4/4*2900.3*0+8/8*4119.5*0+11/11*4419.5*0+12/12*5083+4137/4137*(W61+W77*0)+2141/2141*W60-W73-81/81*W101-W132-W134+12/12*-211.85)+(4/4*2613550.85*0+8/8*4402649.85*0+11/11*4981128.85*0+12/12*5345354.88+4137/4137*(X61+X77*0)+2141/2141*X60+2329/2329*-(105894*0+8/8*135282*0+11/11*214358)-X73-81/81*X101-(13011/13011*X132+13015/13015*X134-505/505*0)-12/12*404767.95)</f>
        <v>-336856.947</v>
      </c>
      <c r="AA73" s="326">
        <f>SUM(AA60:AA72)</f>
        <v>7814369.900000002</v>
      </c>
      <c r="AB73" s="97">
        <f>SUM(AB60:AB72)</f>
        <v>44799765.099999994</v>
      </c>
      <c r="AC73" s="179"/>
      <c r="AD73" s="179"/>
      <c r="AE73" s="179"/>
      <c r="AF73" s="179"/>
      <c r="AG73" s="179"/>
      <c r="AH73" s="179"/>
      <c r="AI73" s="296"/>
      <c r="AJ73" s="296"/>
      <c r="AK73" s="457"/>
      <c r="AL73" s="457"/>
      <c r="AM73" s="457"/>
      <c r="AN73" s="281">
        <f>SUM(AN60:AN72)</f>
        <v>4755956.280000001</v>
      </c>
      <c r="AO73" s="180">
        <f>SUM(AO60:AO72)</f>
        <v>1693675.4499996332</v>
      </c>
      <c r="AP73" s="97">
        <f>SUM(AP60:AP72)</f>
        <v>17928659.420000367</v>
      </c>
      <c r="AQ73" s="180"/>
      <c r="AR73" s="180">
        <f>SUM(AR60:AR72)</f>
        <v>0.07996629976128133</v>
      </c>
      <c r="AU73" s="172">
        <f aca="true" t="shared" si="82" ref="AU73:BC73">SUM(AU60:AU72)</f>
        <v>52614135</v>
      </c>
      <c r="AW73" s="174">
        <f t="shared" si="82"/>
        <v>56634331.56</v>
      </c>
      <c r="AY73" s="187"/>
      <c r="AZ73" s="175">
        <f t="shared" si="82"/>
        <v>19857692.869999997</v>
      </c>
      <c r="BA73" s="197"/>
      <c r="BB73" s="173">
        <f t="shared" si="82"/>
        <v>37770879.12</v>
      </c>
      <c r="BC73" s="176">
        <f t="shared" si="82"/>
        <v>-18863452.440000005</v>
      </c>
      <c r="BD73" s="197">
        <f t="shared" si="78"/>
        <v>0</v>
      </c>
    </row>
    <row r="74" spans="1:55" ht="33.75">
      <c r="A74" s="222"/>
      <c r="B74" s="360"/>
      <c r="C74" s="388"/>
      <c r="D74" s="389"/>
      <c r="E74" s="389"/>
      <c r="F74" s="389"/>
      <c r="G74" s="389"/>
      <c r="H74" s="389"/>
      <c r="I74" s="389"/>
      <c r="J74" s="388"/>
      <c r="K74" s="93"/>
      <c r="L74" s="56"/>
      <c r="M74" s="440">
        <f>(6112/6112*2260922*0+9/9*3652790+6118/6118*0+6171/6171*20411045.43*0+9/9*32176023.2)-(K73+K101+K132+K134+K143)</f>
        <v>-19502466.799999997</v>
      </c>
      <c r="O74" s="20" t="s">
        <v>4</v>
      </c>
      <c r="P74" s="388">
        <f>250-1+3+600+6+250</f>
        <v>1108</v>
      </c>
      <c r="Q74" s="389"/>
      <c r="R74" s="389"/>
      <c r="S74" s="389"/>
      <c r="T74" s="389">
        <f>1343/1343*248</f>
        <v>248</v>
      </c>
      <c r="U74" s="389"/>
      <c r="V74" s="389"/>
      <c r="W74" s="388">
        <f aca="true" t="shared" si="83" ref="W74:W82">SUM(P74:V74)</f>
        <v>1356</v>
      </c>
      <c r="X74" s="93">
        <f>1/1*(54011*0+3/3*117644*0+4/4*123708*0+5/5*197274*0+6/6*202816*0+7/7*181095.25*0+8/8*193395.25*0+9/9*201212.25*0+10/10*216626.75*0+11/11*226726.75*0+12/12*225758)+2/2*(495*0+3/3*600*0+4/4*735*0+5/5*1560*0+6/6*2280*0+7/7*1680*0+8/8*2100*0+9/9*3030*0+10/10*2640*0+11/11*2835*0+12/12*2752.5)+3/3*(35316*0+3/3*126562*0+4/4*159658*0+5/5*262543*0+6/6*626166*0+7/7*642026*0+8/8*712116*0+9/9*724403*0+10/10*765759*0+11/11*787199*0+12/12*826889)+44/44*5/5*3068+5/5*(44586*0+3/3*49446*0+4/4*83100*0+5/5*91128*0+6/6*97284*0+7/7*132732*0+8/8*133848*0+9/9*143124*0+10/10*180360*0+11/11*185934*0+12/12*193530)</f>
        <v>1251997.5</v>
      </c>
      <c r="Y74" s="62">
        <f t="shared" si="81"/>
        <v>0.9233019911504424</v>
      </c>
      <c r="Z74" s="369">
        <f>4645484.25-X75-X74-X81</f>
        <v>-176964.75</v>
      </c>
      <c r="AA74" s="240">
        <f aca="true" t="shared" si="84" ref="AA74:AA82">K74-AB74</f>
        <v>0</v>
      </c>
      <c r="AB74" s="93"/>
      <c r="AC74" s="85"/>
      <c r="AD74" s="201"/>
      <c r="AE74" s="201"/>
      <c r="AF74" s="201"/>
      <c r="AG74" s="201"/>
      <c r="AH74" s="201"/>
      <c r="AI74" s="229"/>
      <c r="AJ74" s="229"/>
      <c r="AK74" s="255"/>
      <c r="AL74" s="255"/>
      <c r="AM74" s="255"/>
      <c r="AN74" s="73">
        <f aca="true" t="shared" si="85" ref="AN74:AN82">AA74-0</f>
        <v>0</v>
      </c>
      <c r="AO74" s="328">
        <f aca="true" t="shared" si="86" ref="AO74:AO82">X74-AP74</f>
        <v>46234.75</v>
      </c>
      <c r="AP74" s="93">
        <f>1/1*(54011*0+3/3*117644*0+4/4*123708*0+5/5*197274*0+6/6*202816*0+7/7*181095.25*0+8/8*193395.25*0+9/9*201212.25*0+10/10*216626.75*0+11/11*226726.75)+2/2*(495*0+3/3*600*0+4/4*735*0+5/5*1560*0+6/6*2280*0+7/7*1680*0+8/8*2100*0+9/9*3030*0+10/10*2640*0+11/11*2835)+3/3*(35316*0+3/3*126562*0+4/4*159658*0+5/5*262543*0+6/6*626166*0+7/7*642026*0+8/8*712116*0+9/9*724403*0+10/10*765759*0+11/11*787199)+44/44*5/5*3068+5/5*(44586*0+3/3*49446*0+4/4*83100*0+5/5*91128*0+6/6*97284*0+7/7*132732*0+8/8*133848*0+9/9*143124*0+10/10*180360*0+11/11*185934)</f>
        <v>1205762.75</v>
      </c>
      <c r="AQ74" s="118" t="s">
        <v>704</v>
      </c>
      <c r="AR74" s="119">
        <f>AO74-1.2/1.2*(1/1*54011+2/2*495+3/3*35316+5/5*44586)*0-3/3*(63633+105+91246+4860)*0-4/4*(6064+135+33096+33654)*0-5/5*(73566+825+102885+44/44*3068+8028)*0-6/6*(5542+720+363623+0+6156)*0-7/7*((6925-28645.75)+(390-990)+15860+0+35448)*0-8/8*(12300+420+70090+0+1116)*0-9/9*(7817+930+12287+9276)*0-10/10*(15414.5-390+41356+37236)*0-11/11*(10100+195+21440+5574)*0-12/12*((7100-8068.75)+(255-337.5)+39690+7596)</f>
        <v>0</v>
      </c>
      <c r="AU74" s="141">
        <f aca="true" t="shared" si="87" ref="AU74:AU82">K74</f>
        <v>0</v>
      </c>
      <c r="AV74" s="142"/>
      <c r="AW74" s="143">
        <f aca="true" t="shared" si="88" ref="AW74:AW82">AU74+AV74</f>
        <v>0</v>
      </c>
      <c r="AX74" s="120"/>
      <c r="AY74" s="185" t="s">
        <v>4</v>
      </c>
      <c r="AZ74" s="144">
        <f aca="true" t="shared" si="89" ref="AZ74:AZ82">X74</f>
        <v>1251997.5</v>
      </c>
      <c r="BA74" s="142"/>
      <c r="BB74" s="145">
        <f aca="true" t="shared" si="90" ref="BB74:BB82">AZ74+BA74</f>
        <v>1251997.5</v>
      </c>
      <c r="BC74" s="146">
        <f aca="true" t="shared" si="91" ref="BC74:BC82">BB74-AW74</f>
        <v>1251997.5</v>
      </c>
    </row>
    <row r="75" spans="1:55" ht="15">
      <c r="A75" s="36" t="s">
        <v>326</v>
      </c>
      <c r="B75" s="361"/>
      <c r="C75" s="388"/>
      <c r="D75" s="389"/>
      <c r="E75" s="389"/>
      <c r="F75" s="389"/>
      <c r="G75" s="389"/>
      <c r="H75" s="389"/>
      <c r="I75" s="389"/>
      <c r="J75" s="388"/>
      <c r="K75" s="93">
        <f>5342/5342*2/2*143560*0+3/3*215773*0+4/4*322773*0+5/5*396955*0+6/6*471755*0+7/7*583525*0+8/8*661163*0+9/9*741206*0+10/10*852258*0+11/11*931410*0+12/12*1133534</f>
        <v>1133534</v>
      </c>
      <c r="L75" s="56"/>
      <c r="O75" s="20" t="s">
        <v>5</v>
      </c>
      <c r="P75" s="388">
        <f>3200*0+3148</f>
        <v>3148</v>
      </c>
      <c r="Q75" s="389"/>
      <c r="R75" s="389"/>
      <c r="S75" s="389"/>
      <c r="T75" s="389">
        <v>1200</v>
      </c>
      <c r="U75" s="389"/>
      <c r="V75" s="389"/>
      <c r="W75" s="388">
        <f t="shared" si="83"/>
        <v>4348</v>
      </c>
      <c r="X75" s="93">
        <f>2/2*61/61*526645*0+3/3*837655*0+4/4*1128935*0+5/5*1468685*0+6/6*1920880*0+7/7*2268705*0+8/8*2559195*0+9/9*2862530*0+10/10*3092940*0+11/11*3367655*0+12/12*3510090</f>
        <v>3510090</v>
      </c>
      <c r="Y75" s="62">
        <f t="shared" si="81"/>
        <v>0.8072884084636615</v>
      </c>
      <c r="AA75" s="240">
        <f t="shared" si="84"/>
        <v>202124</v>
      </c>
      <c r="AB75" s="93">
        <f>5342/5342*2/2*143560*0+3/3*215773*0+4/4*322773*0+5/5*396955*0+6/6*471755*0+7/7*583525*0+8/8*661163*0+9/9*741206*0+10/10*852258*0+11/11*931410</f>
        <v>931410</v>
      </c>
      <c r="AC75" s="85"/>
      <c r="AD75" s="201" t="s">
        <v>213</v>
      </c>
      <c r="AE75" s="201" t="s">
        <v>270</v>
      </c>
      <c r="AF75" s="201" t="s">
        <v>322</v>
      </c>
      <c r="AG75" s="201"/>
      <c r="AH75" s="201"/>
      <c r="AI75" s="229"/>
      <c r="AJ75" s="229" t="s">
        <v>536</v>
      </c>
      <c r="AK75" s="229" t="s">
        <v>582</v>
      </c>
      <c r="AL75" s="229"/>
      <c r="AM75" s="229"/>
      <c r="AN75" s="73">
        <f>AA75-0-3/3*72213*0-4/4*107000*0-5/5*74182*0-6/6*74800*0-3009/3009*80043*0-10/10*111052*0</f>
        <v>202124</v>
      </c>
      <c r="AO75" s="328">
        <f t="shared" si="86"/>
        <v>142435</v>
      </c>
      <c r="AP75" s="93">
        <f>2/2*61/61*526645*0+3/3*837655*0+4/4*1128935*0+5/5*1468685*0+6/6*1920880*0+7/7*2268705*0+8/8*2559195*0+9/9*2862530*0+10/10*3092940*0+11/11*3367655</f>
        <v>3367655</v>
      </c>
      <c r="AQ75" s="118" t="s">
        <v>643</v>
      </c>
      <c r="AR75" s="119">
        <f>AO75-1.2/1.2*526645*0-3/3*311010*0-4/4*291280*0-5/5*339750*0-6/6*452195*0-7/7*347825*0-8/8*290490*0-9/9*(306335-3000)*0-10/10*230410*0-11/11*274715*0-12/12*142435</f>
        <v>0</v>
      </c>
      <c r="AU75" s="141">
        <f>K75</f>
        <v>1133534</v>
      </c>
      <c r="AV75" s="142"/>
      <c r="AW75" s="143">
        <f t="shared" si="88"/>
        <v>1133534</v>
      </c>
      <c r="AX75" s="120"/>
      <c r="AY75" s="185" t="s">
        <v>5</v>
      </c>
      <c r="AZ75" s="144">
        <f t="shared" si="89"/>
        <v>3510090</v>
      </c>
      <c r="BA75" s="142"/>
      <c r="BB75" s="145">
        <f t="shared" si="90"/>
        <v>3510090</v>
      </c>
      <c r="BC75" s="146">
        <f t="shared" si="91"/>
        <v>2376556</v>
      </c>
    </row>
    <row r="76" spans="1:55" ht="15">
      <c r="A76" s="36" t="s">
        <v>325</v>
      </c>
      <c r="B76" s="361"/>
      <c r="C76" s="388"/>
      <c r="D76" s="389"/>
      <c r="E76" s="389"/>
      <c r="F76" s="389"/>
      <c r="G76" s="389"/>
      <c r="H76" s="389"/>
      <c r="I76" s="389"/>
      <c r="J76" s="388"/>
      <c r="K76" s="93">
        <f>3/3*165*0+6/6*330*0+7/7*415</f>
        <v>415</v>
      </c>
      <c r="L76" s="56"/>
      <c r="O76" s="20" t="s">
        <v>6</v>
      </c>
      <c r="P76" s="388">
        <v>7500</v>
      </c>
      <c r="Q76" s="389"/>
      <c r="R76" s="389"/>
      <c r="S76" s="389"/>
      <c r="T76" s="389"/>
      <c r="U76" s="389"/>
      <c r="V76" s="389">
        <v>835</v>
      </c>
      <c r="W76" s="388">
        <f t="shared" si="83"/>
        <v>8335</v>
      </c>
      <c r="X76" s="93">
        <f>4/4*134763.77*0+5/5*148805.87*0+6/6*254248.69*0+7/7*5853871.54*0+8/8*5940942.09*0+9/9*6003711.93*0+10/10*6068492.21*0+11/11*6099270.31*0+12/12*8334910.66</f>
        <v>8334910.66</v>
      </c>
      <c r="Y76" s="62">
        <f t="shared" si="81"/>
        <v>0.9999892813437312</v>
      </c>
      <c r="AA76" s="240">
        <f t="shared" si="84"/>
        <v>0</v>
      </c>
      <c r="AB76" s="93">
        <f>3/3*165*0+6/6*330*0+7/7*415</f>
        <v>415</v>
      </c>
      <c r="AC76" s="85"/>
      <c r="AD76" s="201" t="s">
        <v>214</v>
      </c>
      <c r="AE76" s="201"/>
      <c r="AF76" s="201"/>
      <c r="AG76" s="201"/>
      <c r="AH76" s="201"/>
      <c r="AI76" s="229"/>
      <c r="AJ76" s="229"/>
      <c r="AK76" s="255"/>
      <c r="AL76" s="255"/>
      <c r="AM76" s="255"/>
      <c r="AN76" s="73">
        <f>AA76-0-3/3*165*(0+6/6*0)</f>
        <v>0</v>
      </c>
      <c r="AO76" s="328">
        <f t="shared" si="86"/>
        <v>2235640.3500000006</v>
      </c>
      <c r="AP76" s="93">
        <f>4/4*134763.77*0+5/5*148805.87*0+6/6*254248.69*0+7/7*5853871.54*0+8/8*5940942.09*0+9/9*6003711.93*0+10/10*6068492.21*0+11/11*6099270.31</f>
        <v>6099270.31</v>
      </c>
      <c r="AQ76" s="118" t="s">
        <v>641</v>
      </c>
      <c r="AR76" s="119">
        <f>AO76-1.2/1.2*0-4/4*134763.77*0-5/5*14042.1*0-6/6*105442.82*0-7/7*5599622.85*0-8/8*87070.55*0-9/9*62769.84*0-10/10*64780.28*0-11/11*30778.1*0-12/12*2235640.35</f>
        <v>0</v>
      </c>
      <c r="AU76" s="141">
        <f t="shared" si="87"/>
        <v>415</v>
      </c>
      <c r="AV76" s="142"/>
      <c r="AW76" s="143">
        <f t="shared" si="88"/>
        <v>415</v>
      </c>
      <c r="AX76" s="120">
        <f>W76*2/12</f>
        <v>1389.1666666666667</v>
      </c>
      <c r="AY76" s="185" t="s">
        <v>6</v>
      </c>
      <c r="AZ76" s="144">
        <f t="shared" si="89"/>
        <v>8334910.66</v>
      </c>
      <c r="BA76" s="142"/>
      <c r="BB76" s="145">
        <f t="shared" si="90"/>
        <v>8334910.66</v>
      </c>
      <c r="BC76" s="146">
        <f t="shared" si="91"/>
        <v>8334495.66</v>
      </c>
    </row>
    <row r="77" spans="1:55" ht="15">
      <c r="A77" s="36"/>
      <c r="B77" s="361"/>
      <c r="C77" s="388"/>
      <c r="D77" s="389"/>
      <c r="E77" s="389"/>
      <c r="F77" s="389"/>
      <c r="G77" s="389"/>
      <c r="H77" s="389"/>
      <c r="I77" s="389"/>
      <c r="J77" s="388"/>
      <c r="K77" s="93"/>
      <c r="L77" s="56"/>
      <c r="O77" s="42" t="s">
        <v>110</v>
      </c>
      <c r="P77" s="388">
        <f>(1338.6+6504.9+6190+8233.7+5273.7+8281.4-0.1+2016/2016*3256.8-39079*0)+4/4*((1056+26)*(1.36*0+2)-2112*0)+1</f>
        <v>41244.00000000001</v>
      </c>
      <c r="Q77" s="389"/>
      <c r="R77" s="389"/>
      <c r="S77" s="389"/>
      <c r="T77" s="389"/>
      <c r="U77" s="389"/>
      <c r="V77" s="389"/>
      <c r="W77" s="388">
        <f t="shared" si="83"/>
        <v>41244.00000000001</v>
      </c>
      <c r="X77" s="93">
        <f>W77*1000/12*(2+3/3+4/4+5/5+6/6+7/7+8/8+9/9+10/10+11/11+12/12)+83.33333*(2+3/3)*0</f>
        <v>41244000.00000001</v>
      </c>
      <c r="Y77" s="62">
        <f t="shared" si="81"/>
        <v>1</v>
      </c>
      <c r="Z77" s="485">
        <f>X77+X61-4/4*19596000*0-7/7*34293000*0-8/8*39192000*0-11/11*53889000*0-12/12*58789000</f>
        <v>0</v>
      </c>
      <c r="AA77" s="240">
        <f t="shared" si="84"/>
        <v>0</v>
      </c>
      <c r="AB77" s="93"/>
      <c r="AC77" s="85"/>
      <c r="AD77" s="201"/>
      <c r="AE77" s="201"/>
      <c r="AF77" s="201"/>
      <c r="AG77" s="201"/>
      <c r="AH77" s="201"/>
      <c r="AI77" s="229"/>
      <c r="AJ77" s="229"/>
      <c r="AK77" s="255"/>
      <c r="AL77" s="255"/>
      <c r="AM77" s="255"/>
      <c r="AN77" s="73">
        <f t="shared" si="85"/>
        <v>0</v>
      </c>
      <c r="AO77" s="328">
        <f>X77-AP77</f>
        <v>3437000</v>
      </c>
      <c r="AP77" s="93">
        <f>W77*1000/12*(2+3/3+4/4+5/5+6/6+7/7+8/8+9/9+10/10+11/11)+83.33333*(2+3/3)*0</f>
        <v>37807000.00000001</v>
      </c>
      <c r="AQ77" s="118" t="s">
        <v>428</v>
      </c>
      <c r="AR77" s="486">
        <f>AO77-1.2/1.2*(41243000/12+83.3333)*(2*0+3/3*0+4/4*0+5/5*0+6/6*0+7/7*0+8/8*9/9*0+10/10*0+11/11*0+12/12)</f>
        <v>3.33334319293499E-05</v>
      </c>
      <c r="AU77" s="141">
        <f>K77</f>
        <v>0</v>
      </c>
      <c r="AV77" s="142"/>
      <c r="AW77" s="143">
        <f t="shared" si="88"/>
        <v>0</v>
      </c>
      <c r="AX77" s="120"/>
      <c r="AY77" s="185" t="s">
        <v>110</v>
      </c>
      <c r="AZ77" s="144">
        <f t="shared" si="89"/>
        <v>41244000.00000001</v>
      </c>
      <c r="BA77" s="142"/>
      <c r="BB77" s="145">
        <f t="shared" si="90"/>
        <v>41244000.00000001</v>
      </c>
      <c r="BC77" s="146">
        <f t="shared" si="91"/>
        <v>41244000.00000001</v>
      </c>
    </row>
    <row r="78" spans="1:55" ht="15">
      <c r="A78" s="36"/>
      <c r="B78" s="361"/>
      <c r="C78" s="388"/>
      <c r="D78" s="389"/>
      <c r="E78" s="389"/>
      <c r="F78" s="389"/>
      <c r="G78" s="389"/>
      <c r="H78" s="389"/>
      <c r="I78" s="389"/>
      <c r="J78" s="388"/>
      <c r="K78" s="93"/>
      <c r="L78" s="56"/>
      <c r="O78" s="20" t="s">
        <v>176</v>
      </c>
      <c r="P78" s="388"/>
      <c r="Q78" s="389"/>
      <c r="R78" s="389"/>
      <c r="S78" s="389">
        <f>6/6*8066.4</f>
        <v>8066.4</v>
      </c>
      <c r="T78" s="389"/>
      <c r="U78" s="389"/>
      <c r="V78" s="389"/>
      <c r="W78" s="388">
        <f t="shared" si="83"/>
        <v>8066.4</v>
      </c>
      <c r="X78" s="93">
        <f>X77+X61-6/6*29394000*0-7/7*(34293000*0+8/8*39192000*0+9/9*44091000*0+10/10*48990000*0+11/11*53889000*0+12/12*58789000-99/99*8066430.92)</f>
        <v>8066430.920000009</v>
      </c>
      <c r="Y78" s="62">
        <f t="shared" si="81"/>
        <v>1.0000038331845693</v>
      </c>
      <c r="Z78" s="111">
        <f>7/7*(55441489.72*0+11/11*62681370.92*0+108638027.82)-7/7*(34293000*0+37807000)-99/99*8066430.92-81/81*2016/2016*1940-X145</f>
        <v>-54862874.760000005</v>
      </c>
      <c r="AA78" s="240">
        <f t="shared" si="84"/>
        <v>0</v>
      </c>
      <c r="AB78" s="93"/>
      <c r="AC78" s="85"/>
      <c r="AD78" s="201"/>
      <c r="AE78" s="201"/>
      <c r="AF78" s="201"/>
      <c r="AG78" s="201"/>
      <c r="AH78" s="201"/>
      <c r="AI78" s="229"/>
      <c r="AJ78" s="229"/>
      <c r="AK78" s="255"/>
      <c r="AL78" s="255"/>
      <c r="AM78" s="255"/>
      <c r="AN78" s="73">
        <f t="shared" si="85"/>
        <v>0</v>
      </c>
      <c r="AO78" s="328">
        <f t="shared" si="86"/>
        <v>-3.650784492492676E-07</v>
      </c>
      <c r="AP78" s="93">
        <f>AP77+AP61-6/6*29394000*0-7/7*(34293000*0+8/8*39192000*0+9/9*44091000*0+10/10*48990000*0+11/11*53889000-99/99*8066430.92)</f>
        <v>8066430.920000374</v>
      </c>
      <c r="AQ78" s="118"/>
      <c r="AR78" s="119">
        <f>AO78-1.2/1.2*0-7/7*8066430.92*0</f>
        <v>-3.650784492492676E-07</v>
      </c>
      <c r="AU78" s="141">
        <f t="shared" si="87"/>
        <v>0</v>
      </c>
      <c r="AV78" s="142"/>
      <c r="AW78" s="143">
        <f t="shared" si="88"/>
        <v>0</v>
      </c>
      <c r="AX78" s="120"/>
      <c r="AY78" s="185" t="s">
        <v>176</v>
      </c>
      <c r="AZ78" s="144">
        <f t="shared" si="89"/>
        <v>8066430.920000009</v>
      </c>
      <c r="BA78" s="142">
        <f>-5075632.74</f>
        <v>-5075632.74</v>
      </c>
      <c r="BB78" s="145">
        <f t="shared" si="90"/>
        <v>2990798.180000009</v>
      </c>
      <c r="BC78" s="146">
        <f t="shared" si="91"/>
        <v>2990798.180000009</v>
      </c>
    </row>
    <row r="79" spans="1:55" ht="15">
      <c r="A79" s="36"/>
      <c r="B79" s="361"/>
      <c r="C79" s="388"/>
      <c r="D79" s="389"/>
      <c r="E79" s="389"/>
      <c r="F79" s="389"/>
      <c r="G79" s="389"/>
      <c r="H79" s="389"/>
      <c r="I79" s="389"/>
      <c r="J79" s="388"/>
      <c r="K79" s="93"/>
      <c r="L79" s="56"/>
      <c r="O79" s="20" t="s">
        <v>7</v>
      </c>
      <c r="P79" s="388">
        <v>20000</v>
      </c>
      <c r="Q79" s="389"/>
      <c r="R79" s="389"/>
      <c r="S79" s="389"/>
      <c r="T79" s="389"/>
      <c r="U79" s="389"/>
      <c r="V79" s="389"/>
      <c r="W79" s="388">
        <f t="shared" si="83"/>
        <v>20000</v>
      </c>
      <c r="X79" s="93">
        <f>5/5*(3612/3612*3000000+12/12*7000000+9021/9021*7000000+12/12*3000000)</f>
        <v>20000000</v>
      </c>
      <c r="Y79" s="62">
        <f t="shared" si="81"/>
        <v>1</v>
      </c>
      <c r="AA79" s="240">
        <f t="shared" si="84"/>
        <v>0</v>
      </c>
      <c r="AB79" s="93"/>
      <c r="AC79" s="85"/>
      <c r="AD79" s="201"/>
      <c r="AE79" s="201"/>
      <c r="AF79" s="201"/>
      <c r="AG79" s="201"/>
      <c r="AH79" s="201"/>
      <c r="AI79" s="229"/>
      <c r="AJ79" s="229"/>
      <c r="AK79" s="255"/>
      <c r="AL79" s="255"/>
      <c r="AM79" s="255"/>
      <c r="AN79" s="73">
        <f t="shared" si="85"/>
        <v>0</v>
      </c>
      <c r="AO79" s="328">
        <f t="shared" si="86"/>
        <v>10000000</v>
      </c>
      <c r="AP79" s="93">
        <f>5/5*(3612/3612*3000000+9021/9021*7000000)</f>
        <v>10000000</v>
      </c>
      <c r="AQ79" s="118" t="s">
        <v>639</v>
      </c>
      <c r="AR79" s="119">
        <f>AO79-1.2/1.2*0-5/5*(3612/3612*3000000*0+12/12*7000000+9021/9021*7000000*0+12/12*3000000)</f>
        <v>0</v>
      </c>
      <c r="AU79" s="141">
        <f t="shared" si="87"/>
        <v>0</v>
      </c>
      <c r="AV79" s="142"/>
      <c r="AW79" s="143">
        <f t="shared" si="88"/>
        <v>0</v>
      </c>
      <c r="AX79" s="120">
        <f>W79*2/12</f>
        <v>3333.3333333333335</v>
      </c>
      <c r="AY79" s="185" t="s">
        <v>7</v>
      </c>
      <c r="AZ79" s="144">
        <f t="shared" si="89"/>
        <v>20000000</v>
      </c>
      <c r="BA79" s="142"/>
      <c r="BB79" s="145">
        <f t="shared" si="90"/>
        <v>20000000</v>
      </c>
      <c r="BC79" s="146">
        <f t="shared" si="91"/>
        <v>20000000</v>
      </c>
    </row>
    <row r="80" spans="1:55" ht="15">
      <c r="A80" s="36"/>
      <c r="B80" s="361"/>
      <c r="C80" s="388"/>
      <c r="D80" s="389"/>
      <c r="E80" s="389"/>
      <c r="F80" s="389"/>
      <c r="G80" s="389"/>
      <c r="H80" s="389"/>
      <c r="I80" s="389"/>
      <c r="J80" s="388"/>
      <c r="K80" s="93"/>
      <c r="L80" s="56"/>
      <c r="O80" s="20" t="s">
        <v>537</v>
      </c>
      <c r="P80" s="388">
        <v>0</v>
      </c>
      <c r="Q80" s="389"/>
      <c r="R80" s="389"/>
      <c r="S80" s="389"/>
      <c r="T80" s="389"/>
      <c r="U80" s="389"/>
      <c r="V80" s="389"/>
      <c r="W80" s="388">
        <f t="shared" si="83"/>
        <v>0</v>
      </c>
      <c r="X80" s="93">
        <f>7/7*47882.64</f>
        <v>47882.64</v>
      </c>
      <c r="Y80" s="56"/>
      <c r="AA80" s="240">
        <f t="shared" si="84"/>
        <v>0</v>
      </c>
      <c r="AB80" s="93"/>
      <c r="AC80" s="85"/>
      <c r="AD80" s="201"/>
      <c r="AE80" s="201"/>
      <c r="AF80" s="201"/>
      <c r="AG80" s="201"/>
      <c r="AH80" s="201"/>
      <c r="AI80" s="229"/>
      <c r="AJ80" s="229"/>
      <c r="AK80" s="255"/>
      <c r="AL80" s="255"/>
      <c r="AM80" s="255"/>
      <c r="AN80" s="73">
        <f t="shared" si="85"/>
        <v>0</v>
      </c>
      <c r="AO80" s="328">
        <f t="shared" si="86"/>
        <v>0</v>
      </c>
      <c r="AP80" s="93">
        <f>7/7*47882.64</f>
        <v>47882.64</v>
      </c>
      <c r="AQ80" s="118" t="s">
        <v>164</v>
      </c>
      <c r="AR80" s="119">
        <f>AO80-1.2/1.2*0-7/7*47882.64*0</f>
        <v>0</v>
      </c>
      <c r="AU80" s="141">
        <f t="shared" si="87"/>
        <v>0</v>
      </c>
      <c r="AV80" s="142"/>
      <c r="AW80" s="143">
        <f t="shared" si="88"/>
        <v>0</v>
      </c>
      <c r="AX80" s="120"/>
      <c r="AY80" s="185" t="s">
        <v>34</v>
      </c>
      <c r="AZ80" s="144">
        <f t="shared" si="89"/>
        <v>47882.64</v>
      </c>
      <c r="BA80" s="142"/>
      <c r="BB80" s="145">
        <f t="shared" si="90"/>
        <v>47882.64</v>
      </c>
      <c r="BC80" s="146">
        <f t="shared" si="91"/>
        <v>47882.64</v>
      </c>
    </row>
    <row r="81" spans="1:55" ht="22.5">
      <c r="A81" s="36"/>
      <c r="B81" s="361"/>
      <c r="C81" s="388"/>
      <c r="D81" s="389"/>
      <c r="E81" s="389"/>
      <c r="F81" s="389"/>
      <c r="G81" s="389"/>
      <c r="H81" s="389"/>
      <c r="I81" s="389"/>
      <c r="J81" s="388"/>
      <c r="K81" s="93"/>
      <c r="L81" s="56"/>
      <c r="O81" s="3" t="s">
        <v>491</v>
      </c>
      <c r="P81" s="388"/>
      <c r="Q81" s="389"/>
      <c r="R81" s="389"/>
      <c r="S81" s="389"/>
      <c r="T81" s="389"/>
      <c r="U81" s="389">
        <v>60</v>
      </c>
      <c r="V81" s="389"/>
      <c r="W81" s="388">
        <f t="shared" si="83"/>
        <v>60</v>
      </c>
      <c r="X81" s="93">
        <f>9/9*52255.01*0+11/11*72066.5*0+12/12*60361.5</f>
        <v>60361.5</v>
      </c>
      <c r="Y81" s="56"/>
      <c r="AA81" s="240">
        <f t="shared" si="84"/>
        <v>0</v>
      </c>
      <c r="AB81" s="93"/>
      <c r="AC81" s="85"/>
      <c r="AD81" s="201"/>
      <c r="AE81" s="201"/>
      <c r="AF81" s="201"/>
      <c r="AG81" s="201"/>
      <c r="AH81" s="201"/>
      <c r="AI81" s="229"/>
      <c r="AJ81" s="229"/>
      <c r="AK81" s="255"/>
      <c r="AL81" s="255"/>
      <c r="AM81" s="255"/>
      <c r="AN81" s="73">
        <f t="shared" si="85"/>
        <v>0</v>
      </c>
      <c r="AO81" s="328">
        <f t="shared" si="86"/>
        <v>-11705</v>
      </c>
      <c r="AP81" s="93">
        <f>9/9*52255.01*0+11/11*72066.5</f>
        <v>72066.5</v>
      </c>
      <c r="AQ81" s="118" t="s">
        <v>642</v>
      </c>
      <c r="AR81" s="119">
        <f>AO81-9/9*52255.01*0-11/11*(8106.49+11705)*0-12/12*-11705</f>
        <v>0</v>
      </c>
      <c r="AU81" s="141">
        <f t="shared" si="87"/>
        <v>0</v>
      </c>
      <c r="AV81" s="142"/>
      <c r="AW81" s="143">
        <f t="shared" si="88"/>
        <v>0</v>
      </c>
      <c r="AX81" s="120"/>
      <c r="AY81" s="182"/>
      <c r="AZ81" s="144">
        <f t="shared" si="89"/>
        <v>60361.5</v>
      </c>
      <c r="BA81" s="142"/>
      <c r="BB81" s="145">
        <f t="shared" si="90"/>
        <v>60361.5</v>
      </c>
      <c r="BC81" s="146">
        <f t="shared" si="91"/>
        <v>60361.5</v>
      </c>
    </row>
    <row r="82" spans="1:55" ht="15">
      <c r="A82" s="21" t="s">
        <v>115</v>
      </c>
      <c r="B82" s="21"/>
      <c r="C82" s="388"/>
      <c r="D82" s="389"/>
      <c r="E82" s="389"/>
      <c r="F82" s="389">
        <f>6/6*1.8</f>
        <v>1.8</v>
      </c>
      <c r="G82" s="389"/>
      <c r="H82" s="389"/>
      <c r="I82" s="389"/>
      <c r="J82" s="388">
        <f>SUM(C82:I82)</f>
        <v>1.8</v>
      </c>
      <c r="K82" s="93">
        <f>2016/2016*1778.25</f>
        <v>1778.25</v>
      </c>
      <c r="L82" s="56"/>
      <c r="O82" s="21" t="s">
        <v>115</v>
      </c>
      <c r="P82" s="388"/>
      <c r="Q82" s="389"/>
      <c r="R82" s="389"/>
      <c r="S82" s="389">
        <f>6/6*2016/2016*1.9</f>
        <v>1.9</v>
      </c>
      <c r="T82" s="389"/>
      <c r="U82" s="389"/>
      <c r="V82" s="389"/>
      <c r="W82" s="388">
        <f t="shared" si="83"/>
        <v>1.9</v>
      </c>
      <c r="X82" s="93">
        <f>7/7*1940</f>
        <v>1940</v>
      </c>
      <c r="Y82" s="56"/>
      <c r="AA82" s="240">
        <f t="shared" si="84"/>
        <v>0</v>
      </c>
      <c r="AB82" s="93">
        <f>2016/2016*1778.25</f>
        <v>1778.25</v>
      </c>
      <c r="AC82" s="85"/>
      <c r="AD82" s="201"/>
      <c r="AE82" s="201"/>
      <c r="AF82" s="201"/>
      <c r="AG82" s="201"/>
      <c r="AH82" s="201"/>
      <c r="AI82" s="229"/>
      <c r="AJ82" s="229"/>
      <c r="AK82" s="255"/>
      <c r="AL82" s="255"/>
      <c r="AM82" s="255"/>
      <c r="AN82" s="73">
        <f t="shared" si="85"/>
        <v>0</v>
      </c>
      <c r="AO82" s="328">
        <f t="shared" si="86"/>
        <v>0</v>
      </c>
      <c r="AP82" s="93">
        <f>7/7*1940</f>
        <v>1940</v>
      </c>
      <c r="AQ82" s="118" t="s">
        <v>164</v>
      </c>
      <c r="AR82" s="119">
        <f>AO82-1.2/1.2*0-7/7*1940*0</f>
        <v>0</v>
      </c>
      <c r="AU82" s="141">
        <f t="shared" si="87"/>
        <v>1778.25</v>
      </c>
      <c r="AV82" s="142"/>
      <c r="AW82" s="143">
        <f t="shared" si="88"/>
        <v>1778.25</v>
      </c>
      <c r="AX82" s="120"/>
      <c r="AY82" s="183" t="s">
        <v>115</v>
      </c>
      <c r="AZ82" s="144">
        <f t="shared" si="89"/>
        <v>1940</v>
      </c>
      <c r="BA82" s="142"/>
      <c r="BB82" s="145">
        <f t="shared" si="90"/>
        <v>1940</v>
      </c>
      <c r="BC82" s="146">
        <f t="shared" si="91"/>
        <v>161.75</v>
      </c>
    </row>
    <row r="83" spans="1:56" ht="15">
      <c r="A83" s="35" t="s">
        <v>119</v>
      </c>
      <c r="B83" s="359"/>
      <c r="C83" s="399">
        <f aca="true" t="shared" si="92" ref="C83:K83">SUM(C74:C82)</f>
        <v>0</v>
      </c>
      <c r="D83" s="399">
        <f t="shared" si="92"/>
        <v>0</v>
      </c>
      <c r="E83" s="399">
        <f t="shared" si="92"/>
        <v>0</v>
      </c>
      <c r="F83" s="399">
        <f t="shared" si="92"/>
        <v>1.8</v>
      </c>
      <c r="G83" s="399">
        <f t="shared" si="92"/>
        <v>0</v>
      </c>
      <c r="H83" s="399">
        <f t="shared" si="92"/>
        <v>0</v>
      </c>
      <c r="I83" s="399">
        <f t="shared" si="92"/>
        <v>0</v>
      </c>
      <c r="J83" s="399">
        <f t="shared" si="92"/>
        <v>1.8</v>
      </c>
      <c r="K83" s="97">
        <f t="shared" si="92"/>
        <v>1135727.25</v>
      </c>
      <c r="L83" s="66"/>
      <c r="O83" s="2"/>
      <c r="P83" s="399">
        <f aca="true" t="shared" si="93" ref="P83:W83">SUM(P74:P82)</f>
        <v>73000</v>
      </c>
      <c r="Q83" s="399">
        <f t="shared" si="93"/>
        <v>0</v>
      </c>
      <c r="R83" s="399">
        <f t="shared" si="93"/>
        <v>0</v>
      </c>
      <c r="S83" s="399">
        <f>SUM(S74:S82)</f>
        <v>8068.299999999999</v>
      </c>
      <c r="T83" s="399">
        <f t="shared" si="93"/>
        <v>1448</v>
      </c>
      <c r="U83" s="399">
        <f t="shared" si="93"/>
        <v>60</v>
      </c>
      <c r="V83" s="399">
        <f t="shared" si="93"/>
        <v>835</v>
      </c>
      <c r="W83" s="399">
        <f t="shared" si="93"/>
        <v>83411.3</v>
      </c>
      <c r="X83" s="97">
        <f>SUM(X74:X82)</f>
        <v>82517613.22000001</v>
      </c>
      <c r="Y83" s="66">
        <f>X83/(W83*1000)</f>
        <v>0.9892857828615549</v>
      </c>
      <c r="AA83" s="326">
        <f>SUM(AA74:AA82)</f>
        <v>202124</v>
      </c>
      <c r="AB83" s="97">
        <f>SUM(AB74:AB82)</f>
        <v>933603.25</v>
      </c>
      <c r="AC83" s="179"/>
      <c r="AD83" s="179"/>
      <c r="AE83" s="179"/>
      <c r="AF83" s="179"/>
      <c r="AG83" s="179"/>
      <c r="AH83" s="179"/>
      <c r="AI83" s="296"/>
      <c r="AJ83" s="296"/>
      <c r="AK83" s="457"/>
      <c r="AL83" s="457"/>
      <c r="AM83" s="457"/>
      <c r="AN83" s="281">
        <f>SUM(AN74:AN82)</f>
        <v>202124</v>
      </c>
      <c r="AO83" s="180">
        <f>SUM(AO74:AO82)</f>
        <v>15849605.099999636</v>
      </c>
      <c r="AP83" s="97">
        <f>SUM(AP74:AP82)</f>
        <v>66668008.12000038</v>
      </c>
      <c r="AQ83" s="180"/>
      <c r="AR83" s="180">
        <f>SUM(AR74:AR82)</f>
        <v>3.296835348010063E-05</v>
      </c>
      <c r="AU83" s="172">
        <f>SUM(AU74:AU82)</f>
        <v>1135727.25</v>
      </c>
      <c r="AV83" s="173">
        <f>SUM(AV74:AV82)</f>
        <v>0</v>
      </c>
      <c r="AW83" s="174">
        <f>SUM(AW74:AW82)</f>
        <v>1135727.25</v>
      </c>
      <c r="AX83" s="121"/>
      <c r="AY83" s="121"/>
      <c r="AZ83" s="175">
        <f>SUM(AZ74:AZ82)</f>
        <v>82517613.22000001</v>
      </c>
      <c r="BA83" s="173"/>
      <c r="BB83" s="173">
        <f>SUM(BB74:BB82)</f>
        <v>77441980.48000002</v>
      </c>
      <c r="BC83" s="176">
        <f>SUM(BC74:BC82)</f>
        <v>76306253.23000002</v>
      </c>
      <c r="BD83" s="197">
        <f>AZ83-X83</f>
        <v>0</v>
      </c>
    </row>
    <row r="84" spans="1:55" ht="15.75" thickBot="1">
      <c r="A84" s="37"/>
      <c r="B84" s="362"/>
      <c r="C84" s="400"/>
      <c r="D84" s="401"/>
      <c r="E84" s="401"/>
      <c r="F84" s="401"/>
      <c r="G84" s="401"/>
      <c r="H84" s="401"/>
      <c r="I84" s="401"/>
      <c r="J84" s="400"/>
      <c r="K84" s="98"/>
      <c r="L84" s="57"/>
      <c r="O84" s="9"/>
      <c r="P84" s="400"/>
      <c r="Q84" s="401"/>
      <c r="R84" s="401"/>
      <c r="S84" s="401"/>
      <c r="T84" s="401"/>
      <c r="U84" s="401"/>
      <c r="V84" s="401"/>
      <c r="W84" s="400"/>
      <c r="X84" s="98"/>
      <c r="Y84" s="57"/>
      <c r="AA84" s="240">
        <f>K84-AB84</f>
        <v>0</v>
      </c>
      <c r="AB84" s="98"/>
      <c r="AC84" s="86"/>
      <c r="AD84" s="204"/>
      <c r="AE84" s="204"/>
      <c r="AF84" s="204"/>
      <c r="AG84" s="204"/>
      <c r="AH84" s="204"/>
      <c r="AI84" s="303"/>
      <c r="AJ84" s="303"/>
      <c r="AK84" s="487"/>
      <c r="AL84" s="487"/>
      <c r="AM84" s="487"/>
      <c r="AN84" s="73">
        <f>AA84-0</f>
        <v>0</v>
      </c>
      <c r="AO84" s="328">
        <f>X84-AP84</f>
        <v>0</v>
      </c>
      <c r="AP84" s="98"/>
      <c r="AQ84" s="118"/>
      <c r="AR84" s="119">
        <f>AO84-1.2/1.2*0</f>
        <v>0</v>
      </c>
      <c r="AU84" s="169">
        <f>K84</f>
        <v>0</v>
      </c>
      <c r="AV84" s="142"/>
      <c r="AW84" s="143">
        <f>AU84+AV84</f>
        <v>0</v>
      </c>
      <c r="AX84" s="120"/>
      <c r="AY84" s="51"/>
      <c r="AZ84" s="144">
        <f>X84</f>
        <v>0</v>
      </c>
      <c r="BA84" s="142"/>
      <c r="BB84" s="145">
        <f>AZ84+BA84</f>
        <v>0</v>
      </c>
      <c r="BC84" s="146">
        <f>BB84-AW84</f>
        <v>0</v>
      </c>
    </row>
    <row r="85" spans="1:56" ht="13.5" thickBot="1">
      <c r="A85" s="38" t="s">
        <v>31</v>
      </c>
      <c r="B85" s="363"/>
      <c r="C85" s="402">
        <f aca="true" t="shared" si="94" ref="C85:K85">SUM(C5:C84)/2</f>
        <v>91967</v>
      </c>
      <c r="D85" s="402">
        <f t="shared" si="94"/>
        <v>0</v>
      </c>
      <c r="E85" s="402">
        <f t="shared" si="94"/>
        <v>841</v>
      </c>
      <c r="F85" s="402">
        <f t="shared" si="94"/>
        <v>8068.199999999999</v>
      </c>
      <c r="G85" s="402">
        <f t="shared" si="94"/>
        <v>1863</v>
      </c>
      <c r="H85" s="402">
        <f t="shared" si="94"/>
        <v>177.00000000000034</v>
      </c>
      <c r="I85" s="402">
        <f t="shared" si="94"/>
        <v>1033.7000000000005</v>
      </c>
      <c r="J85" s="402">
        <f t="shared" si="94"/>
        <v>103949.90000000001</v>
      </c>
      <c r="K85" s="99">
        <f t="shared" si="94"/>
        <v>109729584.12000002</v>
      </c>
      <c r="L85" s="67">
        <f>K85/(J85*1000)</f>
        <v>1.0556006703229153</v>
      </c>
      <c r="O85" s="10"/>
      <c r="P85" s="402">
        <f aca="true" t="shared" si="95" ref="P85:X85">SUM(P5:P84)/2</f>
        <v>91967</v>
      </c>
      <c r="Q85" s="402">
        <f t="shared" si="95"/>
        <v>0</v>
      </c>
      <c r="R85" s="402">
        <f t="shared" si="95"/>
        <v>841</v>
      </c>
      <c r="S85" s="402">
        <f t="shared" si="95"/>
        <v>8068.299999999999</v>
      </c>
      <c r="T85" s="402">
        <f t="shared" si="95"/>
        <v>1863</v>
      </c>
      <c r="U85" s="402">
        <f t="shared" si="95"/>
        <v>178.347</v>
      </c>
      <c r="V85" s="402">
        <f t="shared" si="95"/>
        <v>1033.7</v>
      </c>
      <c r="W85" s="402">
        <f>SUM(W5:W84)/2</f>
        <v>103951.34700000001</v>
      </c>
      <c r="X85" s="99">
        <f t="shared" si="95"/>
        <v>103285275.99000001</v>
      </c>
      <c r="Y85" s="67">
        <f>X85/(W85*1000)</f>
        <v>0.9935924735058989</v>
      </c>
      <c r="AA85" s="99">
        <f>SUM(AA5:AA84)/2</f>
        <v>12710712.660000002</v>
      </c>
      <c r="AB85" s="99">
        <f>SUM(AB5:AB84)/2</f>
        <v>97018871.46000001</v>
      </c>
      <c r="AC85" s="87"/>
      <c r="AD85" s="87"/>
      <c r="AE85" s="87"/>
      <c r="AF85" s="87"/>
      <c r="AG85" s="87"/>
      <c r="AH85" s="87"/>
      <c r="AI85" s="304"/>
      <c r="AJ85" s="304"/>
      <c r="AK85" s="488"/>
      <c r="AL85" s="488"/>
      <c r="AM85" s="488"/>
      <c r="AN85" s="99">
        <f>SUM(AN5:AN84)/2</f>
        <v>4263474.010000001</v>
      </c>
      <c r="AO85" s="230">
        <f>SUM(AO5:AO84)/2</f>
        <v>17737581.44999927</v>
      </c>
      <c r="AP85" s="99">
        <f>SUM(AP5:AP84)/2</f>
        <v>85312336.54000075</v>
      </c>
      <c r="AQ85" s="124"/>
      <c r="AR85" s="230">
        <f>SUM(AR5:AR84)/2</f>
        <v>0.07999926811476143</v>
      </c>
      <c r="AU85" s="489">
        <f>SUM(AU5:AU84)/2</f>
        <v>109729584.12000002</v>
      </c>
      <c r="AV85" s="205">
        <f>SUM(AV5:AV73)</f>
        <v>11632306.96</v>
      </c>
      <c r="AW85" s="206">
        <f>SUM(AW5:AW84)/2</f>
        <v>121361891.08</v>
      </c>
      <c r="AX85" s="148"/>
      <c r="AY85" s="148"/>
      <c r="AZ85" s="490">
        <f>SUM(AZ5:AZ84)/2</f>
        <v>103285275.99000001</v>
      </c>
      <c r="BA85" s="205">
        <f>SUM(BA5:BA84)</f>
        <v>33270530.769999996</v>
      </c>
      <c r="BB85" s="205">
        <f>SUM(BB5:BB84)/2</f>
        <v>136555806.76</v>
      </c>
      <c r="BC85" s="165">
        <f>SUM(BC5:BC84)/2</f>
        <v>15193915.68</v>
      </c>
      <c r="BD85" s="197">
        <f>AZ85-X85</f>
        <v>0</v>
      </c>
    </row>
    <row r="86" spans="1:54" s="13" customFormat="1" ht="16.5" thickBot="1" thickTop="1">
      <c r="A86" s="264"/>
      <c r="B86" s="264"/>
      <c r="C86" s="403"/>
      <c r="D86" s="256"/>
      <c r="E86" s="256"/>
      <c r="F86" s="256"/>
      <c r="G86" s="256"/>
      <c r="H86" s="256"/>
      <c r="I86" s="256"/>
      <c r="J86" s="256"/>
      <c r="K86" s="276"/>
      <c r="L86" s="58"/>
      <c r="M86" s="276">
        <f>1/1*M7+2/2*M17+3/3*M21+4/4*M31+5/5*M42+6/6*M52+7/7*M55+8/8*M59+9/9*M73</f>
        <v>5074.300000003077</v>
      </c>
      <c r="N86" s="11"/>
      <c r="P86" s="403">
        <f>91967-P85</f>
        <v>0</v>
      </c>
      <c r="Q86" s="256"/>
      <c r="R86" s="256"/>
      <c r="S86" s="256"/>
      <c r="T86" s="256"/>
      <c r="U86" s="256"/>
      <c r="V86" s="256"/>
      <c r="W86" s="256"/>
      <c r="X86" s="276"/>
      <c r="Y86" s="58"/>
      <c r="Z86" s="167"/>
      <c r="AA86" s="242"/>
      <c r="AB86" s="276"/>
      <c r="AC86" s="88"/>
      <c r="AD86" s="88"/>
      <c r="AE86" s="88"/>
      <c r="AF86" s="88"/>
      <c r="AG86" s="88"/>
      <c r="AH86" s="88"/>
      <c r="AI86" s="305"/>
      <c r="AJ86" s="305"/>
      <c r="AK86" s="376"/>
      <c r="AL86" s="376"/>
      <c r="AM86" s="376"/>
      <c r="AN86" s="242"/>
      <c r="AP86" s="276">
        <f>205205948.93-4134/4134*127961983.31+99/99*8066430.92+1222/1222*47882.64+2016/2016*1940-AP85+4909500*0</f>
        <v>47882.63999925554</v>
      </c>
      <c r="AU86" s="11"/>
      <c r="AV86" s="147">
        <f>5/5*4002574.92*0+6/6*4307931.45*0+7/7*4933749.54*0+8/8*6529153.59*0+9/9*7424859.64*0+10/10*9156751.75*0+11/11*9700577.44*0+12/12*11632306.96-AV85</f>
        <v>0</v>
      </c>
      <c r="AW86" s="11"/>
      <c r="AX86" s="11"/>
      <c r="AY86" s="11"/>
      <c r="AZ86" s="111"/>
      <c r="BA86" s="111"/>
      <c r="BB86" s="111"/>
    </row>
    <row r="87" spans="15:53" ht="16.5" thickBot="1" thickTop="1">
      <c r="O87" s="8" t="s">
        <v>41</v>
      </c>
      <c r="P87" s="429">
        <f aca="true" t="shared" si="96" ref="P87:X87">P85-C85</f>
        <v>0</v>
      </c>
      <c r="Q87" s="429">
        <f t="shared" si="96"/>
        <v>0</v>
      </c>
      <c r="R87" s="429">
        <f t="shared" si="96"/>
        <v>0</v>
      </c>
      <c r="S87" s="429">
        <f t="shared" si="96"/>
        <v>0.1000000000003638</v>
      </c>
      <c r="T87" s="429">
        <f t="shared" si="96"/>
        <v>0</v>
      </c>
      <c r="U87" s="429">
        <f t="shared" si="96"/>
        <v>1.3469999999996674</v>
      </c>
      <c r="V87" s="429">
        <f t="shared" si="96"/>
        <v>0</v>
      </c>
      <c r="W87" s="429">
        <f t="shared" si="96"/>
        <v>1.4470000000001164</v>
      </c>
      <c r="X87" s="338">
        <f t="shared" si="96"/>
        <v>-6444308.13000001</v>
      </c>
      <c r="AP87" s="338">
        <f>AP85-AB85</f>
        <v>-11706534.919999257</v>
      </c>
      <c r="AZ87" s="111"/>
      <c r="BA87" s="111"/>
    </row>
    <row r="88" spans="19:53" ht="9.75" customHeight="1" thickTop="1">
      <c r="S88" s="257" t="s">
        <v>369</v>
      </c>
      <c r="AZ88" s="111"/>
      <c r="BA88" s="111"/>
    </row>
    <row r="89" spans="3:42" ht="12" customHeight="1">
      <c r="C89" s="405"/>
      <c r="D89" s="405"/>
      <c r="E89" s="405"/>
      <c r="F89" s="405"/>
      <c r="G89" s="405"/>
      <c r="H89" s="405"/>
      <c r="I89" s="405"/>
      <c r="J89" s="405"/>
      <c r="K89" s="100"/>
      <c r="L89" s="59"/>
      <c r="O89" s="11"/>
      <c r="P89" s="405"/>
      <c r="Q89" s="405"/>
      <c r="R89" s="405"/>
      <c r="S89" s="405"/>
      <c r="T89" s="405"/>
      <c r="U89" s="405"/>
      <c r="V89" s="405"/>
      <c r="W89" s="405"/>
      <c r="X89" s="100"/>
      <c r="Y89" s="59"/>
      <c r="AA89" s="243"/>
      <c r="AB89" s="100"/>
      <c r="AC89" s="83"/>
      <c r="AD89" s="83"/>
      <c r="AE89" s="83"/>
      <c r="AF89" s="83"/>
      <c r="AG89" s="83"/>
      <c r="AH89" s="83"/>
      <c r="AI89" s="307"/>
      <c r="AJ89" s="307"/>
      <c r="AK89" s="405"/>
      <c r="AL89" s="405"/>
      <c r="AM89" s="405"/>
      <c r="AN89" s="243"/>
      <c r="AP89" s="100"/>
    </row>
    <row r="90" spans="1:42" ht="13.5" thickBot="1">
      <c r="A90" s="39" t="s">
        <v>116</v>
      </c>
      <c r="B90" s="39"/>
      <c r="C90" s="403"/>
      <c r="D90" s="406"/>
      <c r="E90" s="406"/>
      <c r="F90" s="406"/>
      <c r="G90" s="406"/>
      <c r="H90" s="407"/>
      <c r="I90" s="407"/>
      <c r="J90" s="403"/>
      <c r="K90" s="101"/>
      <c r="L90" s="60"/>
      <c r="O90" s="11"/>
      <c r="P90" s="403"/>
      <c r="Q90" s="407"/>
      <c r="R90" s="406"/>
      <c r="S90" s="406"/>
      <c r="T90" s="406"/>
      <c r="V90" s="407"/>
      <c r="W90" s="407"/>
      <c r="X90" s="101"/>
      <c r="Y90" s="60"/>
      <c r="AA90" s="101"/>
      <c r="AB90" s="101"/>
      <c r="AC90" s="83"/>
      <c r="AD90" s="83"/>
      <c r="AE90" s="83"/>
      <c r="AF90" s="83"/>
      <c r="AG90" s="83"/>
      <c r="AH90" s="83"/>
      <c r="AI90" s="307"/>
      <c r="AJ90" s="307"/>
      <c r="AK90" s="405"/>
      <c r="AL90" s="405"/>
      <c r="AM90" s="405"/>
      <c r="AN90" s="101"/>
      <c r="AP90" s="101"/>
    </row>
    <row r="91" spans="1:55" ht="13.5" thickTop="1">
      <c r="A91" s="19" t="s">
        <v>65</v>
      </c>
      <c r="B91" s="364"/>
      <c r="C91" s="408"/>
      <c r="D91" s="409"/>
      <c r="E91" s="46"/>
      <c r="F91" s="46"/>
      <c r="G91" s="46"/>
      <c r="H91" s="410"/>
      <c r="I91" s="411"/>
      <c r="J91" s="408"/>
      <c r="K91" s="252"/>
      <c r="L91" s="69"/>
      <c r="M91" s="491">
        <f>(J100+J127+J93+J130+(J132+J133)+J134+J101+(J94+J95+J96+J97+J98)+J110+J143)*1000-(K100+K127+K93+K130+(K132+K133)+K134+K101+(K94+K95+K96+K97+K98)+K110+K143)</f>
        <v>53659.5700000003</v>
      </c>
      <c r="N91" s="147"/>
      <c r="O91" s="14"/>
      <c r="P91" s="408"/>
      <c r="Q91" s="409"/>
      <c r="R91" s="46"/>
      <c r="S91" s="46"/>
      <c r="T91" s="46"/>
      <c r="U91" s="410"/>
      <c r="V91" s="411"/>
      <c r="W91" s="430"/>
      <c r="X91" s="112"/>
      <c r="Y91" s="69"/>
      <c r="AA91" s="244"/>
      <c r="AB91" s="252"/>
      <c r="AC91" s="195"/>
      <c r="AD91" s="207"/>
      <c r="AE91" s="207"/>
      <c r="AF91" s="207"/>
      <c r="AG91" s="207"/>
      <c r="AH91" s="207"/>
      <c r="AI91" s="308"/>
      <c r="AJ91" s="308"/>
      <c r="AK91" s="492"/>
      <c r="AL91" s="492"/>
      <c r="AM91" s="492"/>
      <c r="AN91" s="282"/>
      <c r="AO91" s="69"/>
      <c r="AP91" s="112"/>
      <c r="AQ91" s="69"/>
      <c r="AR91" s="69"/>
      <c r="AU91" s="149"/>
      <c r="AV91" s="102"/>
      <c r="AW91" s="150"/>
      <c r="AX91" s="151"/>
      <c r="AY91" s="151"/>
      <c r="AZ91" s="152"/>
      <c r="BA91" s="102"/>
      <c r="BB91" s="102"/>
      <c r="BC91" s="171"/>
    </row>
    <row r="92" spans="1:55" ht="15" customHeight="1">
      <c r="A92" s="269" t="s">
        <v>117</v>
      </c>
      <c r="B92" s="365"/>
      <c r="C92" s="412"/>
      <c r="D92" s="413">
        <f>3/3*28.1</f>
        <v>28.1</v>
      </c>
      <c r="E92" s="52"/>
      <c r="F92" s="52"/>
      <c r="G92" s="52"/>
      <c r="H92" s="414"/>
      <c r="I92" s="415"/>
      <c r="J92" s="388">
        <f aca="true" t="shared" si="97" ref="J92:J99">SUM(C92:I92)</f>
        <v>28.1</v>
      </c>
      <c r="K92" s="447">
        <f>4/4*28140</f>
        <v>28140</v>
      </c>
      <c r="L92" s="62">
        <f>K92/(J92*1000)</f>
        <v>1.001423487544484</v>
      </c>
      <c r="M92" s="74"/>
      <c r="O92" s="20" t="s">
        <v>71</v>
      </c>
      <c r="P92" s="388"/>
      <c r="Q92" s="413">
        <f>3/3*28.1</f>
        <v>28.1</v>
      </c>
      <c r="R92" s="421"/>
      <c r="S92" s="421"/>
      <c r="T92" s="421"/>
      <c r="U92" s="416"/>
      <c r="V92" s="417"/>
      <c r="W92" s="431">
        <f>SUM(P92:V92)</f>
        <v>28.1</v>
      </c>
      <c r="X92" s="113">
        <f>3/3*28140</f>
        <v>28140</v>
      </c>
      <c r="Y92" s="62">
        <f aca="true" t="shared" si="98" ref="Y92:Y98">X92/(W92*1000)</f>
        <v>1.001423487544484</v>
      </c>
      <c r="AA92" s="245">
        <f aca="true" t="shared" si="99" ref="AA92:AA106">K92-AB92</f>
        <v>0</v>
      </c>
      <c r="AB92" s="447">
        <f>4/4*28140</f>
        <v>28140</v>
      </c>
      <c r="AC92" s="196"/>
      <c r="AD92" s="208"/>
      <c r="AE92" s="208" t="s">
        <v>250</v>
      </c>
      <c r="AF92" s="208"/>
      <c r="AG92" s="208"/>
      <c r="AH92" s="208"/>
      <c r="AI92" s="309"/>
      <c r="AJ92" s="309"/>
      <c r="AK92" s="493"/>
      <c r="AL92" s="493"/>
      <c r="AM92" s="493"/>
      <c r="AN92" s="73">
        <f>AA92-4/4*28140*0</f>
        <v>0</v>
      </c>
      <c r="AO92" s="119">
        <f aca="true" t="shared" si="100" ref="AO92:AO144">X92-AP92</f>
        <v>0</v>
      </c>
      <c r="AP92" s="113">
        <f>3/3*28140</f>
        <v>28140</v>
      </c>
      <c r="AQ92" s="118" t="s">
        <v>164</v>
      </c>
      <c r="AR92" s="119">
        <f>AO92-1.2/1.2*0-3/3*28140*0</f>
        <v>0</v>
      </c>
      <c r="AU92" s="141">
        <f aca="true" t="shared" si="101" ref="AU92:AU117">K92</f>
        <v>28140</v>
      </c>
      <c r="AV92" s="142"/>
      <c r="AW92" s="143">
        <f aca="true" t="shared" si="102" ref="AW92:AW117">AU92+AV92</f>
        <v>28140</v>
      </c>
      <c r="AX92" s="120"/>
      <c r="AY92" s="51"/>
      <c r="AZ92" s="144">
        <f aca="true" t="shared" si="103" ref="AZ92:AZ117">X92</f>
        <v>28140</v>
      </c>
      <c r="BA92" s="142"/>
      <c r="BB92" s="145">
        <f aca="true" t="shared" si="104" ref="BB92:BB117">AZ92+BA92</f>
        <v>28140</v>
      </c>
      <c r="BC92" s="146">
        <f aca="true" t="shared" si="105" ref="BC92:BC117">BB92-AW92</f>
        <v>0</v>
      </c>
    </row>
    <row r="93" spans="1:55" ht="15" customHeight="1">
      <c r="A93" s="36" t="s">
        <v>67</v>
      </c>
      <c r="B93" s="361"/>
      <c r="C93" s="388"/>
      <c r="D93" s="418">
        <f>3/3*418+9/9*336</f>
        <v>754</v>
      </c>
      <c r="E93" s="47"/>
      <c r="F93" s="47"/>
      <c r="G93" s="47"/>
      <c r="H93" s="416"/>
      <c r="I93" s="417"/>
      <c r="J93" s="388">
        <f t="shared" si="97"/>
        <v>754</v>
      </c>
      <c r="K93" s="344">
        <f>(39748+9937+3578+4694.87+600)*0+4/4*84060.87*0+5/5*107017.87*0+6/6*162854.87*0+7/7*185564.87*0+8/8*234242.87*0+9/9*429068.87*0+10/10*516712.87*0+11/11*569340.87*0+12/12*(707000+504/504*30000)+1/1*(1002.27*0+2502.27*0+12/12*5000)+2/2*(2444.7*0+7/7*6444.7*0+12/12*12000)</f>
        <v>754000</v>
      </c>
      <c r="L93" s="62">
        <f>K93/(J93*1000)</f>
        <v>1</v>
      </c>
      <c r="M93" s="494">
        <f>754000-K93</f>
        <v>0</v>
      </c>
      <c r="O93" s="20" t="s">
        <v>71</v>
      </c>
      <c r="P93" s="388"/>
      <c r="Q93" s="418">
        <f>3/3*418+9/9*336</f>
        <v>754</v>
      </c>
      <c r="R93" s="421"/>
      <c r="S93" s="421"/>
      <c r="T93" s="421"/>
      <c r="U93" s="416"/>
      <c r="V93" s="417"/>
      <c r="W93" s="431">
        <f aca="true" t="shared" si="106" ref="W93:W99">SUM(P93:V93)</f>
        <v>754</v>
      </c>
      <c r="X93" s="105">
        <f>4/4*418000+10/10*336000</f>
        <v>754000</v>
      </c>
      <c r="Y93" s="62">
        <f t="shared" si="98"/>
        <v>1</v>
      </c>
      <c r="AA93" s="245">
        <f t="shared" si="99"/>
        <v>175712.16000000003</v>
      </c>
      <c r="AB93" s="103">
        <f>(39748+9937+3578+4694.87+600)*0+4/4*84060.87*0+5/5*107017.87*0+6/6*162854.87*0+7/7*185564.87*0+8/8*234242.87*0+9/9*429068.87*0+10/10*516712.87*0+11/11*569340.87+1/1*(1002.27*0+2502.27)+2/2*(2444.7*0+7/7*6444.7)</f>
        <v>578287.84</v>
      </c>
      <c r="AC93" s="194"/>
      <c r="AD93" s="209" t="s">
        <v>202</v>
      </c>
      <c r="AE93" s="209" t="s">
        <v>268</v>
      </c>
      <c r="AF93" s="209" t="s">
        <v>321</v>
      </c>
      <c r="AG93" s="209" t="s">
        <v>371</v>
      </c>
      <c r="AH93" s="209" t="s">
        <v>403</v>
      </c>
      <c r="AI93" s="310"/>
      <c r="AJ93" s="310" t="s">
        <v>520</v>
      </c>
      <c r="AK93" s="228" t="s">
        <v>555</v>
      </c>
      <c r="AL93" s="228" t="s">
        <v>604</v>
      </c>
      <c r="AM93" s="228"/>
      <c r="AN93" s="73">
        <f>AA93-0-3/3*(39748+9937+3578+4694.87+600+1/1*1002.27+2/2*2444.7)*0-4/4*25503*0-5/5*22957*0-6/6*55837*0-7/7*(22710+1500+4000)*0-9/9*(145393+36348+13085)*0-10/10*(65405+16352+5887)*0-11/11*52628*0</f>
        <v>175712.16000000003</v>
      </c>
      <c r="AO93" s="119">
        <f t="shared" si="100"/>
        <v>0</v>
      </c>
      <c r="AP93" s="105">
        <f>4/4*418000+10/10*336000</f>
        <v>754000</v>
      </c>
      <c r="AQ93" s="118" t="s">
        <v>164</v>
      </c>
      <c r="AR93" s="119">
        <f>AO93-1.2/1.2*0-4/4*418000*0-10/10*336000*0</f>
        <v>0</v>
      </c>
      <c r="AU93" s="141">
        <f t="shared" si="101"/>
        <v>754000</v>
      </c>
      <c r="AV93" s="142"/>
      <c r="AW93" s="143">
        <f t="shared" si="102"/>
        <v>754000</v>
      </c>
      <c r="AX93" s="120"/>
      <c r="AY93" s="51"/>
      <c r="AZ93" s="144">
        <f t="shared" si="103"/>
        <v>754000</v>
      </c>
      <c r="BA93" s="142"/>
      <c r="BB93" s="145">
        <f t="shared" si="104"/>
        <v>754000</v>
      </c>
      <c r="BC93" s="146">
        <f t="shared" si="105"/>
        <v>0</v>
      </c>
    </row>
    <row r="94" spans="1:55" ht="15" customHeight="1">
      <c r="A94" s="36" t="s">
        <v>673</v>
      </c>
      <c r="B94" s="361"/>
      <c r="C94" s="388"/>
      <c r="D94" s="418">
        <f>4/4*35.2+6/6*145.8+12/12*211</f>
        <v>392</v>
      </c>
      <c r="E94" s="47"/>
      <c r="F94" s="47"/>
      <c r="G94" s="47"/>
      <c r="H94" s="416"/>
      <c r="I94" s="417"/>
      <c r="J94" s="388">
        <f t="shared" si="97"/>
        <v>392</v>
      </c>
      <c r="K94" s="449">
        <f>(5/5*(8+10+10-2.8+10-35.2)*0+6/6*(3429/3429*192.9+3419/3419*223.8))*1000-3412/3412*35300*0-3419.3429/3419.3429*(30+5+15+10+10+10+10+10)*1000-3419.3429/3419.3429*(15+10+25+2.9+60+10+10+(10*0+2.8)+10)*1000+3421/3421*10000+11/11*(77/77*4000+78/78*10000+79/79*8000-203000)+12/12*((3429/3429*(8+102)+3421/3421*(8+8+40)+3419/3419*(10+110+28.2+40+42.5))*1000)</f>
        <v>396700</v>
      </c>
      <c r="L94" s="62"/>
      <c r="M94" s="111">
        <f>1568000*25%+(-K94+4700)*0+(-K95-1472)</f>
        <v>0</v>
      </c>
      <c r="O94" s="41" t="s">
        <v>68</v>
      </c>
      <c r="P94" s="388"/>
      <c r="Q94" s="418">
        <f>4/4*35.2+6/6*145.8+12/12*211</f>
        <v>392</v>
      </c>
      <c r="R94" s="47"/>
      <c r="S94" s="47"/>
      <c r="T94" s="47"/>
      <c r="U94" s="416"/>
      <c r="V94" s="417"/>
      <c r="W94" s="431">
        <f t="shared" si="106"/>
        <v>392</v>
      </c>
      <c r="X94" s="225">
        <f>4/4*35.2*1000+6/6*145.8*1000+12/12*(181000+30000)</f>
        <v>392000</v>
      </c>
      <c r="Y94" s="62">
        <f t="shared" si="98"/>
        <v>1</v>
      </c>
      <c r="AA94" s="245">
        <f t="shared" si="99"/>
        <v>193699.99999999997</v>
      </c>
      <c r="AB94" s="448">
        <f>(5/5*(8+10+10-2.8+10-35.2)*0+6/6*(3429/3429*192.9+3419/3419*223.8))*1000-3412/3412*35300*0-3419.3429/3419.3429*(30+5+15+10+10+10+10+10)*1000-3419.3429/3419.3429*(15+10+25+2.9+60+10+10+(10*0+2.8)+10)*1000+3421/3421*10000+11/11*(77/77*4000+78/78*10000+79/79*8000)</f>
        <v>203000.00000000003</v>
      </c>
      <c r="AC94" s="194"/>
      <c r="AD94" s="209"/>
      <c r="AE94" s="209"/>
      <c r="AF94" s="209" t="s">
        <v>297</v>
      </c>
      <c r="AG94" s="209" t="s">
        <v>372</v>
      </c>
      <c r="AH94" s="209"/>
      <c r="AI94" s="310"/>
      <c r="AJ94" s="310"/>
      <c r="AK94" s="228"/>
      <c r="AL94" s="228"/>
      <c r="AM94" s="228"/>
      <c r="AN94" s="73">
        <f>AA94-5/5*35200*0-6/6*381500*0</f>
        <v>193699.99999999997</v>
      </c>
      <c r="AO94" s="119">
        <f t="shared" si="100"/>
        <v>211000</v>
      </c>
      <c r="AP94" s="225">
        <f>4/4*35.2*1000+6/6*145.8*1000</f>
        <v>181000</v>
      </c>
      <c r="AQ94" s="118"/>
      <c r="AR94" s="119">
        <f>AO94-1.2/1.2*0-4/4*35200*0-6/6*145800*0</f>
        <v>211000</v>
      </c>
      <c r="AU94" s="141">
        <f t="shared" si="101"/>
        <v>396700</v>
      </c>
      <c r="AV94" s="142"/>
      <c r="AW94" s="143">
        <f t="shared" si="102"/>
        <v>396700</v>
      </c>
      <c r="AX94" s="120"/>
      <c r="AY94" s="51"/>
      <c r="AZ94" s="144">
        <f t="shared" si="103"/>
        <v>392000</v>
      </c>
      <c r="BA94" s="142"/>
      <c r="BB94" s="145">
        <f t="shared" si="104"/>
        <v>392000</v>
      </c>
      <c r="BC94" s="146">
        <f t="shared" si="105"/>
        <v>-4700</v>
      </c>
    </row>
    <row r="95" spans="1:55" ht="15" customHeight="1">
      <c r="A95" s="36" t="s">
        <v>69</v>
      </c>
      <c r="B95" s="361"/>
      <c r="C95" s="388"/>
      <c r="D95" s="418">
        <f>4/4*35.3+6/6*145.7+12/12*211</f>
        <v>392</v>
      </c>
      <c r="E95" s="47"/>
      <c r="F95" s="47"/>
      <c r="G95" s="47"/>
      <c r="H95" s="416"/>
      <c r="I95" s="417"/>
      <c r="J95" s="388">
        <f t="shared" si="97"/>
        <v>392</v>
      </c>
      <c r="K95" s="449">
        <f>(3421/3421*6/6*10000*0+3412/3412*35300+3419.3429/3419.3429*(15+10+25+2.9+60+10+10+(10*0+2.8)+10)*1000)*0+12/12*3412/3412*20328+(3421/3421*(25+10)+3419/3419*(13.5+80+20+8.8+115+45)+3429/3429*(5+15+32.9))*1000</f>
        <v>390528</v>
      </c>
      <c r="L95" s="62"/>
      <c r="M95" s="495">
        <f>SUM(K94:K98)-6/6*637725.77*0-7/7*693087.77*0-10/10*715166.87*0-12/12*1573089.89</f>
        <v>0</v>
      </c>
      <c r="O95" s="41" t="s">
        <v>68</v>
      </c>
      <c r="P95" s="388"/>
      <c r="Q95" s="418">
        <f>4/4*35.3+6/6*145.7+12/12*211</f>
        <v>392</v>
      </c>
      <c r="R95" s="47"/>
      <c r="S95" s="47"/>
      <c r="T95" s="47"/>
      <c r="U95" s="416"/>
      <c r="V95" s="417"/>
      <c r="W95" s="431">
        <f t="shared" si="106"/>
        <v>392</v>
      </c>
      <c r="X95" s="225">
        <f>4/4*35.3*1000+6/6*145.7*1000+12/12*(181000+30000)</f>
        <v>392000</v>
      </c>
      <c r="Y95" s="62">
        <f t="shared" si="98"/>
        <v>1</v>
      </c>
      <c r="AA95" s="245">
        <f t="shared" si="99"/>
        <v>209527.99999999997</v>
      </c>
      <c r="AB95" s="448">
        <f>3421/3421*6/6*10000*0+3412/3412*35300+3419.3429/3419.3429*(15+10+25+2.9+60+10+10+(10*0+2.8)+10)*1000</f>
        <v>181000.00000000003</v>
      </c>
      <c r="AC95" s="85"/>
      <c r="AD95" s="209"/>
      <c r="AE95" s="209"/>
      <c r="AF95" s="209"/>
      <c r="AG95" s="209" t="s">
        <v>373</v>
      </c>
      <c r="AH95" s="209"/>
      <c r="AI95" s="310"/>
      <c r="AJ95" s="310"/>
      <c r="AK95" s="228"/>
      <c r="AL95" s="228"/>
      <c r="AM95" s="228"/>
      <c r="AN95" s="73">
        <f>AA95-6/6*10000*0</f>
        <v>209527.99999999997</v>
      </c>
      <c r="AO95" s="119">
        <f t="shared" si="100"/>
        <v>211000</v>
      </c>
      <c r="AP95" s="225">
        <f>4/4*35.3*1000+6/6*145.7*1000</f>
        <v>181000</v>
      </c>
      <c r="AQ95" s="118"/>
      <c r="AR95" s="119">
        <f>AO95-1.2/1.2*0-4/4*35300*0-6/6*145700*0</f>
        <v>211000</v>
      </c>
      <c r="AU95" s="141">
        <f t="shared" si="101"/>
        <v>390528</v>
      </c>
      <c r="AV95" s="142"/>
      <c r="AW95" s="143">
        <f t="shared" si="102"/>
        <v>390528</v>
      </c>
      <c r="AX95" s="120"/>
      <c r="AY95" s="51"/>
      <c r="AZ95" s="144">
        <f t="shared" si="103"/>
        <v>392000</v>
      </c>
      <c r="BA95" s="142"/>
      <c r="BB95" s="145">
        <f t="shared" si="104"/>
        <v>392000</v>
      </c>
      <c r="BC95" s="146">
        <f t="shared" si="105"/>
        <v>1472</v>
      </c>
    </row>
    <row r="96" spans="1:55" ht="22.5">
      <c r="A96" s="37" t="s">
        <v>431</v>
      </c>
      <c r="B96" s="362"/>
      <c r="C96" s="388"/>
      <c r="D96" s="418">
        <f>4/4*70.5+6/6*291.5-(D97-12/12*(50))-(D98-12/12*(23+49.3+51+150.7))+12/12*422-50-(23+49.3+51+150.7)</f>
        <v>174.5</v>
      </c>
      <c r="E96" s="47"/>
      <c r="F96" s="47"/>
      <c r="G96" s="47"/>
      <c r="H96" s="416"/>
      <c r="I96" s="417"/>
      <c r="J96" s="388">
        <f t="shared" si="97"/>
        <v>174.5</v>
      </c>
      <c r="K96" s="449">
        <f>4329/4329*2/2*1084*0+3/3*1626*0+5/5*2168*0+6/6*2710*0+7/7*3252*0+8/8*3794*0+9/9*6829.1*0+10/10*7371.1*0+11/11*8760.1*0+3111/3111*12/12*59500+3113/3113*(6500+12/12*9302.1)+3141/3141*12/12*5171/5171*29500+3412/3412*(35300*0+6121/6121*(35300+20328*0))-4/4*160430.1*0+3419.3429/3419.3429*(30+5+15+10+10+10+10+10)*1000*0+3429/3429*35000+3419/3419*2500</f>
        <v>177602.1</v>
      </c>
      <c r="L96" s="62"/>
      <c r="M96" s="467">
        <f>12/12*1573089.89-SUM(K94:K98)</f>
        <v>0</v>
      </c>
      <c r="O96" s="41" t="s">
        <v>68</v>
      </c>
      <c r="P96" s="388"/>
      <c r="Q96" s="418">
        <f>4/4*70.5+6/6*291.5-(Q97-12/12*(50))-(Q98-12/12*(23+49.3+51+150.7))+12/12*422-50-(23+49.3+51+150.7)</f>
        <v>174.5</v>
      </c>
      <c r="R96" s="47"/>
      <c r="S96" s="47"/>
      <c r="T96" s="47"/>
      <c r="U96" s="416"/>
      <c r="V96" s="417"/>
      <c r="W96" s="431">
        <f t="shared" si="106"/>
        <v>174.5</v>
      </c>
      <c r="X96" s="225">
        <f>4/4*70.5*1000+6/6*291.5*1000+12/12*(482000-60000)-X97-X98</f>
        <v>174500</v>
      </c>
      <c r="Y96" s="62">
        <f t="shared" si="98"/>
        <v>1</v>
      </c>
      <c r="AA96" s="245">
        <f t="shared" si="99"/>
        <v>62342</v>
      </c>
      <c r="AB96" s="449">
        <f>4329/4329*2/2*1084*0+3/3*1626*0+5/5*2168*0+6/6*2710*0+7/7*3252*0+8/8*3794*0+9/9*6829.1*0+10/10*7371.1*0+11/11*8760.1+3113/3113*6500+3412/3412*35300*0+3419.3429/3419.3429*(30+5+15+10+10+10+10+10)*1000</f>
        <v>115260.1</v>
      </c>
      <c r="AC96" s="85" t="s">
        <v>148</v>
      </c>
      <c r="AD96" s="201" t="s">
        <v>196</v>
      </c>
      <c r="AE96" s="201"/>
      <c r="AF96" s="201" t="s">
        <v>334</v>
      </c>
      <c r="AG96" s="201" t="s">
        <v>375</v>
      </c>
      <c r="AH96" s="201" t="s">
        <v>400</v>
      </c>
      <c r="AI96" s="229" t="s">
        <v>444</v>
      </c>
      <c r="AJ96" s="229" t="s">
        <v>508</v>
      </c>
      <c r="AK96" s="255" t="s">
        <v>552</v>
      </c>
      <c r="AL96" s="255"/>
      <c r="AM96" s="255" t="s">
        <v>658</v>
      </c>
      <c r="AN96" s="73">
        <f>AA96-1.2/1.2*2*0*542-542*3/3*0-5/5*542*0-6/6*(542+3113/3113*6500+3412/3412*35300)*0-7/7*542*(0+8/8)*0-9/9*(1742+1293.1)*0-10/10*542*0-12/12*542</f>
        <v>61800</v>
      </c>
      <c r="AO96" s="119">
        <f t="shared" si="100"/>
        <v>98000</v>
      </c>
      <c r="AP96" s="225">
        <f>4/4*70.5*1000+6/6*291.5*1000-AP97-AP98</f>
        <v>76500</v>
      </c>
      <c r="AQ96" s="118"/>
      <c r="AR96" s="119">
        <f>AO96-1.2/1.2*0-4/4*70500*0-6/6*291500*0-8/8*-285500*0</f>
        <v>98000</v>
      </c>
      <c r="AU96" s="141">
        <f t="shared" si="101"/>
        <v>177602.1</v>
      </c>
      <c r="AV96" s="142"/>
      <c r="AW96" s="143">
        <f t="shared" si="102"/>
        <v>177602.1</v>
      </c>
      <c r="AX96" s="120"/>
      <c r="AY96" s="51"/>
      <c r="AZ96" s="144">
        <f t="shared" si="103"/>
        <v>174500</v>
      </c>
      <c r="BA96" s="142"/>
      <c r="BB96" s="145">
        <f t="shared" si="104"/>
        <v>174500</v>
      </c>
      <c r="BC96" s="146">
        <f t="shared" si="105"/>
        <v>-3102.100000000006</v>
      </c>
    </row>
    <row r="97" spans="1:55" ht="14.25" customHeight="1">
      <c r="A97" s="37" t="s">
        <v>94</v>
      </c>
      <c r="B97" s="362"/>
      <c r="C97" s="388"/>
      <c r="D97" s="418">
        <f>4/4*0+6/6*114.5+12/12*50</f>
        <v>164.5</v>
      </c>
      <c r="E97" s="47"/>
      <c r="F97" s="47"/>
      <c r="G97" s="47"/>
      <c r="H97" s="416"/>
      <c r="I97" s="417"/>
      <c r="J97" s="388">
        <f t="shared" si="97"/>
        <v>164.5</v>
      </c>
      <c r="K97" s="344">
        <f>6/6*66841*0+4379/4379*(503/503*(29850*0+10/10*47810*0+78000)+504/504*16940+505/505*(11898*0+19172+13020)+4351/4351*(503/503*5163/5163*29000+510/510*8153))-5/5*164285*0</f>
        <v>164285</v>
      </c>
      <c r="L97" s="70"/>
      <c r="M97" s="111">
        <f>(603/603*(75986.6*0+159618.19*0+376974.79)+604/604*65488.17*0+67000-K98)+(503/503*(47810*0+78000)+504/504*16940+505/505*(11898*0+13020+19172)+510/510*4351/4351*(29000+1/1*8153)-K97)+(404/404*(130800+9302.1+3412/3412*20328*0+3419.3429/3419.3429*(35000+2500))-K96)+785861.89-SUM(K96:K98)</f>
        <v>0</v>
      </c>
      <c r="O97" s="41" t="s">
        <v>95</v>
      </c>
      <c r="P97" s="388"/>
      <c r="Q97" s="418">
        <f>4/4*0+6/6*114.5+12/12*50</f>
        <v>164.5</v>
      </c>
      <c r="R97" s="47"/>
      <c r="S97" s="47"/>
      <c r="T97" s="47"/>
      <c r="U97" s="416"/>
      <c r="V97" s="417"/>
      <c r="W97" s="431">
        <f t="shared" si="106"/>
        <v>164.5</v>
      </c>
      <c r="X97" s="225">
        <f>4/4*0+6/6*114.5*1000+12/12*50000</f>
        <v>164500</v>
      </c>
      <c r="Y97" s="62">
        <f t="shared" si="98"/>
        <v>1</v>
      </c>
      <c r="AA97" s="245">
        <f t="shared" si="99"/>
        <v>66464</v>
      </c>
      <c r="AB97" s="103">
        <f>6/6*66841*0+4379/4379*(503/503*(29850*0+10/10*47810)+504/504*16940+505/505*(11898+13020)+4351/4351*510/510*8153)</f>
        <v>97821</v>
      </c>
      <c r="AC97" s="85"/>
      <c r="AD97" s="209"/>
      <c r="AE97" s="209"/>
      <c r="AF97" s="209"/>
      <c r="AG97" s="209" t="s">
        <v>374</v>
      </c>
      <c r="AH97" s="209"/>
      <c r="AI97" s="310"/>
      <c r="AJ97" s="310"/>
      <c r="AK97" s="228" t="s">
        <v>559</v>
      </c>
      <c r="AL97" s="228"/>
      <c r="AM97" s="228"/>
      <c r="AN97" s="73">
        <f>AA97-6/6*((29850+13020+16940)+11898+8153)*0-10/10*17960*0</f>
        <v>66464</v>
      </c>
      <c r="AO97" s="119">
        <f t="shared" si="100"/>
        <v>50000</v>
      </c>
      <c r="AP97" s="225">
        <f>4/4*0+6/6*114.5*1000</f>
        <v>114500</v>
      </c>
      <c r="AQ97" s="118"/>
      <c r="AR97" s="119">
        <f>AO97-1.2/1.2*0-8/8*114500*0</f>
        <v>50000</v>
      </c>
      <c r="AU97" s="141">
        <f t="shared" si="101"/>
        <v>164285</v>
      </c>
      <c r="AV97" s="142"/>
      <c r="AW97" s="143">
        <f t="shared" si="102"/>
        <v>164285</v>
      </c>
      <c r="AX97" s="120"/>
      <c r="AY97" s="51"/>
      <c r="AZ97" s="144">
        <f t="shared" si="103"/>
        <v>164500</v>
      </c>
      <c r="BA97" s="142"/>
      <c r="BB97" s="145">
        <f t="shared" si="104"/>
        <v>164500</v>
      </c>
      <c r="BC97" s="146">
        <f t="shared" si="105"/>
        <v>215</v>
      </c>
    </row>
    <row r="98" spans="1:55" ht="15" customHeight="1">
      <c r="A98" s="37" t="s">
        <v>98</v>
      </c>
      <c r="B98" s="362"/>
      <c r="C98" s="388"/>
      <c r="D98" s="418">
        <f>4/4*3319/3319*(27+37)*0+6/6*171+12/12*(23+49.3+51+150.7)</f>
        <v>445</v>
      </c>
      <c r="E98" s="47"/>
      <c r="F98" s="47"/>
      <c r="G98" s="47"/>
      <c r="H98" s="416"/>
      <c r="I98" s="417"/>
      <c r="J98" s="388">
        <f t="shared" si="97"/>
        <v>445</v>
      </c>
      <c r="K98" s="344">
        <f>6/6*141474.77*0+7/7*(9330+41756.6+14900+3330/3330*10000+604/604*65488.17)-141474.77+12/12*(3313/3313*23011+3314/3314*(30000+9277.19+10000)+3319/3319*(16000+35000+27000+9330+604/604*67000))+(106/106*(56300*0+55256.6)+306/306*137200+111216/111216*14900)+399134/399134*10000-6/6*443974.79*0</f>
        <v>443974.79000000004</v>
      </c>
      <c r="L98" s="70"/>
      <c r="M98" s="111">
        <f>1568000*50%-SUM(K96:K98)</f>
        <v>-1861.890000000014</v>
      </c>
      <c r="O98" s="41" t="s">
        <v>118</v>
      </c>
      <c r="P98" s="388"/>
      <c r="Q98" s="418">
        <f>4/4*3319/3319*(27+37)*0+6/6*171+12/12*(23+49.3+51+150.7)</f>
        <v>445</v>
      </c>
      <c r="R98" s="47"/>
      <c r="S98" s="47"/>
      <c r="T98" s="47"/>
      <c r="U98" s="416"/>
      <c r="V98" s="417"/>
      <c r="W98" s="431">
        <f t="shared" si="106"/>
        <v>445</v>
      </c>
      <c r="X98" s="225">
        <f>4/4*3319/3319*(27+37)*0+6/6*171*1000+12/12*274000</f>
        <v>445000</v>
      </c>
      <c r="Y98" s="62">
        <f t="shared" si="98"/>
        <v>1</v>
      </c>
      <c r="Z98" s="111">
        <f>724000*0+12/12*1568000-SUM(X94:X98)</f>
        <v>0</v>
      </c>
      <c r="AA98" s="245">
        <f t="shared" si="99"/>
        <v>302500.02</v>
      </c>
      <c r="AB98" s="103">
        <f>6/6*141474.77*0+7/7*(9330+41756.6+14900+3330/3330*10000+604/604*65488.17)</f>
        <v>141474.77000000002</v>
      </c>
      <c r="AC98" s="85"/>
      <c r="AD98" s="209"/>
      <c r="AE98" s="209"/>
      <c r="AF98" s="209"/>
      <c r="AG98" s="209" t="s">
        <v>343</v>
      </c>
      <c r="AH98" s="209"/>
      <c r="AI98" s="310"/>
      <c r="AJ98" s="310"/>
      <c r="AK98" s="228"/>
      <c r="AL98" s="228"/>
      <c r="AM98" s="228"/>
      <c r="AN98" s="73">
        <f>AA98-6/6*(9330+41756.6+14900+10000+65488.17)*0</f>
        <v>302500.02</v>
      </c>
      <c r="AO98" s="119">
        <f t="shared" si="100"/>
        <v>274000</v>
      </c>
      <c r="AP98" s="225">
        <f>4/4*3319/3319*(27+37)*0+6/6*171*1000</f>
        <v>171000</v>
      </c>
      <c r="AQ98" s="118"/>
      <c r="AR98" s="119">
        <f>AO98-1.2/1.2*0-8/8*171000*0</f>
        <v>274000</v>
      </c>
      <c r="AU98" s="141">
        <f t="shared" si="101"/>
        <v>443974.79000000004</v>
      </c>
      <c r="AV98" s="142"/>
      <c r="AW98" s="143">
        <f t="shared" si="102"/>
        <v>443974.79000000004</v>
      </c>
      <c r="AX98" s="120"/>
      <c r="AY98" s="51"/>
      <c r="AZ98" s="144">
        <f t="shared" si="103"/>
        <v>445000</v>
      </c>
      <c r="BA98" s="142"/>
      <c r="BB98" s="145">
        <f t="shared" si="104"/>
        <v>445000</v>
      </c>
      <c r="BC98" s="146">
        <f t="shared" si="105"/>
        <v>1025.2099999999627</v>
      </c>
    </row>
    <row r="99" spans="1:55" ht="15" customHeight="1" hidden="1">
      <c r="A99" s="37" t="s">
        <v>81</v>
      </c>
      <c r="B99" s="362"/>
      <c r="C99" s="388"/>
      <c r="D99" s="418"/>
      <c r="E99" s="47"/>
      <c r="F99" s="47"/>
      <c r="G99" s="47"/>
      <c r="H99" s="416"/>
      <c r="I99" s="417"/>
      <c r="J99" s="388">
        <f t="shared" si="97"/>
        <v>0</v>
      </c>
      <c r="K99" s="103"/>
      <c r="L99" s="70"/>
      <c r="O99" s="41" t="s">
        <v>72</v>
      </c>
      <c r="P99" s="388"/>
      <c r="Q99" s="418"/>
      <c r="R99" s="47"/>
      <c r="S99" s="47"/>
      <c r="T99" s="47"/>
      <c r="U99" s="416"/>
      <c r="V99" s="417"/>
      <c r="W99" s="431">
        <f t="shared" si="106"/>
        <v>0</v>
      </c>
      <c r="X99" s="105"/>
      <c r="Y99" s="70"/>
      <c r="AA99" s="245">
        <f t="shared" si="99"/>
        <v>0</v>
      </c>
      <c r="AB99" s="103"/>
      <c r="AC99" s="85"/>
      <c r="AD99" s="209"/>
      <c r="AE99" s="209"/>
      <c r="AF99" s="209"/>
      <c r="AG99" s="209"/>
      <c r="AH99" s="209"/>
      <c r="AI99" s="310"/>
      <c r="AJ99" s="310"/>
      <c r="AK99" s="228"/>
      <c r="AL99" s="228"/>
      <c r="AM99" s="228"/>
      <c r="AN99" s="73">
        <f aca="true" t="shared" si="107" ref="AN99:AN105">AA99-0</f>
        <v>0</v>
      </c>
      <c r="AO99" s="119">
        <f t="shared" si="100"/>
        <v>0</v>
      </c>
      <c r="AP99" s="105"/>
      <c r="AQ99" s="118"/>
      <c r="AR99" s="119">
        <f aca="true" t="shared" si="108" ref="AR99:AR131">AO99-1.2/1.2*0</f>
        <v>0</v>
      </c>
      <c r="AU99" s="141">
        <f t="shared" si="101"/>
        <v>0</v>
      </c>
      <c r="AV99" s="142"/>
      <c r="AW99" s="143">
        <f t="shared" si="102"/>
        <v>0</v>
      </c>
      <c r="AX99" s="120"/>
      <c r="AY99" s="51"/>
      <c r="AZ99" s="144">
        <f t="shared" si="103"/>
        <v>0</v>
      </c>
      <c r="BA99" s="142"/>
      <c r="BB99" s="145">
        <f t="shared" si="104"/>
        <v>0</v>
      </c>
      <c r="BC99" s="146">
        <f t="shared" si="105"/>
        <v>0</v>
      </c>
    </row>
    <row r="100" spans="1:55" ht="12.75">
      <c r="A100" s="37" t="s">
        <v>120</v>
      </c>
      <c r="B100" s="362"/>
      <c r="C100" s="388"/>
      <c r="D100" s="418">
        <f>2/2*5000</f>
        <v>5000</v>
      </c>
      <c r="E100" s="47"/>
      <c r="F100" s="47"/>
      <c r="G100" s="47"/>
      <c r="H100" s="416"/>
      <c r="I100" s="417"/>
      <c r="J100" s="388">
        <f aca="true" t="shared" si="109" ref="J100:J125">SUM(C100:I100)</f>
        <v>5000</v>
      </c>
      <c r="K100" s="344">
        <f>2/2*835000*0+3/3*1255000*0+4/4*1675000*0+5/5*2085000*0+6/6*2500000*0+7/7*2915000*0+8/8*3330000*0+10/10*4160000*0+11/11*4580000*0+12/12*5000000</f>
        <v>5000000</v>
      </c>
      <c r="L100" s="62">
        <f aca="true" t="shared" si="110" ref="L100:L106">K100/(J100*1000)</f>
        <v>1</v>
      </c>
      <c r="M100" s="373">
        <f>81/81*6168700-(K93+K100+K101+K102+K106+K110)</f>
        <v>0</v>
      </c>
      <c r="O100" s="41" t="s">
        <v>73</v>
      </c>
      <c r="P100" s="388"/>
      <c r="Q100" s="418">
        <f>2/2*5000</f>
        <v>5000</v>
      </c>
      <c r="R100" s="47"/>
      <c r="S100" s="47"/>
      <c r="T100" s="47"/>
      <c r="U100" s="416"/>
      <c r="V100" s="417"/>
      <c r="W100" s="431">
        <f aca="true" t="shared" si="111" ref="W100:W107">SUM(P100:V100)</f>
        <v>5000</v>
      </c>
      <c r="X100" s="105">
        <f>2/2*5000000</f>
        <v>5000000</v>
      </c>
      <c r="Y100" s="62">
        <f aca="true" t="shared" si="112" ref="Y100:Y106">X100/(W100*1000)</f>
        <v>1</v>
      </c>
      <c r="AA100" s="245">
        <f t="shared" si="99"/>
        <v>420000</v>
      </c>
      <c r="AB100" s="103">
        <f>2/2*835000*0+3/3*1255000*0+4/4*1675000*0+5/5*2085000*0+6/6*2500000*0+7/7*2915000*0+8/8*3330000*0+10/10*4160000*0+11/11*4580000</f>
        <v>4580000</v>
      </c>
      <c r="AC100" s="85" t="s">
        <v>147</v>
      </c>
      <c r="AD100" s="209" t="s">
        <v>187</v>
      </c>
      <c r="AE100" s="209" t="s">
        <v>281</v>
      </c>
      <c r="AF100" s="209" t="s">
        <v>280</v>
      </c>
      <c r="AG100" s="209" t="s">
        <v>344</v>
      </c>
      <c r="AH100" s="209" t="s">
        <v>389</v>
      </c>
      <c r="AI100" s="310" t="s">
        <v>437</v>
      </c>
      <c r="AJ100" s="310"/>
      <c r="AK100" s="228" t="s">
        <v>545</v>
      </c>
      <c r="AL100" s="228" t="s">
        <v>587</v>
      </c>
      <c r="AM100" s="228" t="s">
        <v>646</v>
      </c>
      <c r="AN100" s="73">
        <f>AA100-2/2*835000*0-3/3*420000*0-4/4*420000*0-5/5*410000*0-6/6*415000*(7/7*8/8*0+10/10*(9/9+10/10)*0+11/11*0+12/12)-11/11*5000*12/12</f>
        <v>0</v>
      </c>
      <c r="AO100" s="119">
        <f t="shared" si="100"/>
        <v>0</v>
      </c>
      <c r="AP100" s="105">
        <f>2/2*5000000</f>
        <v>5000000</v>
      </c>
      <c r="AQ100" s="118"/>
      <c r="AR100" s="119">
        <f>AO100-1.2/1.2*5000000*0</f>
        <v>0</v>
      </c>
      <c r="AU100" s="141">
        <f t="shared" si="101"/>
        <v>5000000</v>
      </c>
      <c r="AV100" s="142"/>
      <c r="AW100" s="143">
        <f t="shared" si="102"/>
        <v>5000000</v>
      </c>
      <c r="AX100" s="120"/>
      <c r="AY100" s="51"/>
      <c r="AZ100" s="144">
        <f t="shared" si="103"/>
        <v>5000000</v>
      </c>
      <c r="BA100" s="142"/>
      <c r="BB100" s="145">
        <f t="shared" si="104"/>
        <v>5000000</v>
      </c>
      <c r="BC100" s="146">
        <f t="shared" si="105"/>
        <v>0</v>
      </c>
    </row>
    <row r="101" spans="1:55" ht="12.75">
      <c r="A101" s="37" t="s">
        <v>83</v>
      </c>
      <c r="B101" s="362"/>
      <c r="C101" s="388"/>
      <c r="D101" s="418">
        <f>5/5*115</f>
        <v>115</v>
      </c>
      <c r="E101" s="47"/>
      <c r="F101" s="47"/>
      <c r="G101" s="47"/>
      <c r="H101" s="416"/>
      <c r="I101" s="417"/>
      <c r="J101" s="388">
        <f t="shared" si="109"/>
        <v>115</v>
      </c>
      <c r="K101" s="344">
        <f>5/5*17040*0+8/8*35280*0+12/12*92600</f>
        <v>92600</v>
      </c>
      <c r="L101" s="62">
        <f t="shared" si="110"/>
        <v>0.8052173913043478</v>
      </c>
      <c r="O101" s="41" t="s">
        <v>84</v>
      </c>
      <c r="P101" s="388"/>
      <c r="Q101" s="418">
        <f>5/5*115</f>
        <v>115</v>
      </c>
      <c r="R101" s="421"/>
      <c r="S101" s="421"/>
      <c r="T101" s="421"/>
      <c r="U101" s="416"/>
      <c r="V101" s="417"/>
      <c r="W101" s="431">
        <f t="shared" si="111"/>
        <v>115</v>
      </c>
      <c r="X101" s="105">
        <f>5/5*115000</f>
        <v>115000</v>
      </c>
      <c r="Y101" s="62">
        <f t="shared" si="112"/>
        <v>1</v>
      </c>
      <c r="AA101" s="245">
        <f t="shared" si="99"/>
        <v>57320</v>
      </c>
      <c r="AB101" s="103">
        <f>5/5*17040*0+8/8*35280</f>
        <v>35280</v>
      </c>
      <c r="AC101" s="85"/>
      <c r="AD101" s="209"/>
      <c r="AE101" s="209"/>
      <c r="AF101" s="209" t="s">
        <v>320</v>
      </c>
      <c r="AG101" s="209"/>
      <c r="AH101" s="209"/>
      <c r="AI101" s="310" t="s">
        <v>472</v>
      </c>
      <c r="AJ101" s="310"/>
      <c r="AK101" s="228"/>
      <c r="AL101" s="228"/>
      <c r="AM101" s="228"/>
      <c r="AN101" s="73">
        <f>AA101-5/5*17040*0-8/8*(17040+1200)*0</f>
        <v>57320</v>
      </c>
      <c r="AO101" s="119">
        <f t="shared" si="100"/>
        <v>0</v>
      </c>
      <c r="AP101" s="105">
        <f>5/5*115000</f>
        <v>115000</v>
      </c>
      <c r="AQ101" s="118"/>
      <c r="AR101" s="119">
        <f>AO101-1.2/1.2*0-5/5*115000*0</f>
        <v>0</v>
      </c>
      <c r="AU101" s="141">
        <f t="shared" si="101"/>
        <v>92600</v>
      </c>
      <c r="AV101" s="142"/>
      <c r="AW101" s="143">
        <f t="shared" si="102"/>
        <v>92600</v>
      </c>
      <c r="AX101" s="120"/>
      <c r="AY101" s="51"/>
      <c r="AZ101" s="144">
        <f t="shared" si="103"/>
        <v>115000</v>
      </c>
      <c r="BA101" s="142"/>
      <c r="BB101" s="145">
        <f t="shared" si="104"/>
        <v>115000</v>
      </c>
      <c r="BC101" s="146">
        <f t="shared" si="105"/>
        <v>22400</v>
      </c>
    </row>
    <row r="102" spans="1:55" ht="12.75">
      <c r="A102" s="36" t="s">
        <v>585</v>
      </c>
      <c r="B102" s="361"/>
      <c r="C102" s="388"/>
      <c r="D102" s="418">
        <f>5/5*51</f>
        <v>51</v>
      </c>
      <c r="E102" s="231"/>
      <c r="F102" s="47"/>
      <c r="G102" s="47"/>
      <c r="H102" s="416"/>
      <c r="I102" s="417"/>
      <c r="J102" s="388">
        <f t="shared" si="109"/>
        <v>51</v>
      </c>
      <c r="K102" s="344">
        <f>6/6*51000</f>
        <v>51000</v>
      </c>
      <c r="L102" s="62">
        <f t="shared" si="110"/>
        <v>1</v>
      </c>
      <c r="O102" s="20" t="s">
        <v>71</v>
      </c>
      <c r="P102" s="388"/>
      <c r="Q102" s="418">
        <f>5/5*51</f>
        <v>51</v>
      </c>
      <c r="R102" s="421"/>
      <c r="S102" s="421"/>
      <c r="T102" s="421"/>
      <c r="U102" s="416"/>
      <c r="V102" s="417"/>
      <c r="W102" s="431">
        <f t="shared" si="111"/>
        <v>51</v>
      </c>
      <c r="X102" s="105">
        <f>5/5*51000</f>
        <v>51000</v>
      </c>
      <c r="Y102" s="62">
        <f t="shared" si="112"/>
        <v>1</v>
      </c>
      <c r="AA102" s="245">
        <f t="shared" si="99"/>
        <v>0</v>
      </c>
      <c r="AB102" s="344">
        <f>6/6*51000</f>
        <v>51000</v>
      </c>
      <c r="AC102" s="85"/>
      <c r="AD102" s="209"/>
      <c r="AE102" s="209"/>
      <c r="AF102" s="209"/>
      <c r="AG102" s="209" t="s">
        <v>345</v>
      </c>
      <c r="AH102" s="209"/>
      <c r="AI102" s="310"/>
      <c r="AJ102" s="310"/>
      <c r="AK102" s="228"/>
      <c r="AL102" s="228"/>
      <c r="AM102" s="228"/>
      <c r="AN102" s="73">
        <f>AA102-6/6*51000*0</f>
        <v>0</v>
      </c>
      <c r="AO102" s="119">
        <f t="shared" si="100"/>
        <v>0</v>
      </c>
      <c r="AP102" s="105">
        <f>5/5*51000</f>
        <v>51000</v>
      </c>
      <c r="AQ102" s="118"/>
      <c r="AR102" s="119">
        <f>AO102-1.2/1.2*0-5/5*51000*0</f>
        <v>0</v>
      </c>
      <c r="AU102" s="141">
        <f t="shared" si="101"/>
        <v>51000</v>
      </c>
      <c r="AV102" s="142"/>
      <c r="AW102" s="143">
        <f t="shared" si="102"/>
        <v>51000</v>
      </c>
      <c r="AX102" s="120"/>
      <c r="AY102" s="51"/>
      <c r="AZ102" s="144">
        <f t="shared" si="103"/>
        <v>51000</v>
      </c>
      <c r="BA102" s="142"/>
      <c r="BB102" s="145">
        <f t="shared" si="104"/>
        <v>51000</v>
      </c>
      <c r="BC102" s="146">
        <f t="shared" si="105"/>
        <v>0</v>
      </c>
    </row>
    <row r="103" spans="1:55" ht="15" customHeight="1">
      <c r="A103" s="36" t="s">
        <v>678</v>
      </c>
      <c r="B103" s="361"/>
      <c r="C103" s="388"/>
      <c r="D103" s="418">
        <f>5/5*91/91*698</f>
        <v>698</v>
      </c>
      <c r="E103" s="419"/>
      <c r="F103" s="419"/>
      <c r="G103" s="47"/>
      <c r="H103" s="416"/>
      <c r="I103" s="417"/>
      <c r="J103" s="388">
        <f t="shared" si="109"/>
        <v>698</v>
      </c>
      <c r="K103" s="344">
        <f>6/6*698000</f>
        <v>698000</v>
      </c>
      <c r="L103" s="62">
        <f t="shared" si="110"/>
        <v>1</v>
      </c>
      <c r="O103" s="20" t="s">
        <v>71</v>
      </c>
      <c r="P103" s="388"/>
      <c r="Q103" s="418">
        <f>5/5*91/91*698</f>
        <v>698</v>
      </c>
      <c r="R103" s="419"/>
      <c r="S103" s="419"/>
      <c r="T103" s="47"/>
      <c r="U103" s="416"/>
      <c r="V103" s="417"/>
      <c r="W103" s="431">
        <f t="shared" si="111"/>
        <v>698</v>
      </c>
      <c r="X103" s="266">
        <f>5/5*698000</f>
        <v>698000</v>
      </c>
      <c r="Y103" s="62">
        <f t="shared" si="112"/>
        <v>1</v>
      </c>
      <c r="AA103" s="245">
        <f t="shared" si="99"/>
        <v>0</v>
      </c>
      <c r="AB103" s="344">
        <f>6/6*698000</f>
        <v>698000</v>
      </c>
      <c r="AC103" s="85"/>
      <c r="AD103" s="209"/>
      <c r="AE103" s="209"/>
      <c r="AF103" s="209"/>
      <c r="AG103" s="209" t="s">
        <v>376</v>
      </c>
      <c r="AH103" s="209"/>
      <c r="AI103" s="310"/>
      <c r="AJ103" s="310"/>
      <c r="AK103" s="228"/>
      <c r="AL103" s="228"/>
      <c r="AM103" s="228"/>
      <c r="AN103" s="73">
        <f>AA103-6/6*698000*0</f>
        <v>0</v>
      </c>
      <c r="AO103" s="119">
        <f t="shared" si="100"/>
        <v>0</v>
      </c>
      <c r="AP103" s="266">
        <f>5/5*698000</f>
        <v>698000</v>
      </c>
      <c r="AQ103" s="118"/>
      <c r="AR103" s="119">
        <f>AO103-1.2/1.2*0-5/5*698000*0</f>
        <v>0</v>
      </c>
      <c r="AU103" s="141">
        <f t="shared" si="101"/>
        <v>698000</v>
      </c>
      <c r="AV103" s="142"/>
      <c r="AW103" s="143">
        <f t="shared" si="102"/>
        <v>698000</v>
      </c>
      <c r="AX103" s="120"/>
      <c r="AY103" s="51"/>
      <c r="AZ103" s="144">
        <f t="shared" si="103"/>
        <v>698000</v>
      </c>
      <c r="BA103" s="142"/>
      <c r="BB103" s="145">
        <f t="shared" si="104"/>
        <v>698000</v>
      </c>
      <c r="BC103" s="146">
        <f t="shared" si="105"/>
        <v>0</v>
      </c>
    </row>
    <row r="104" spans="1:55" ht="24.75">
      <c r="A104" s="37" t="s">
        <v>672</v>
      </c>
      <c r="B104" s="362"/>
      <c r="C104" s="388"/>
      <c r="D104" s="418">
        <f>5/5*(188.2+284.8+50.5)</f>
        <v>523.5</v>
      </c>
      <c r="E104" s="47"/>
      <c r="F104" s="47"/>
      <c r="G104" s="47"/>
      <c r="H104" s="416"/>
      <c r="I104" s="417"/>
      <c r="J104" s="388">
        <f t="shared" si="109"/>
        <v>523.5</v>
      </c>
      <c r="K104" s="344">
        <f>7/7*(94100+142400+25300)+12/12*(94100+142400+25200)</f>
        <v>523500</v>
      </c>
      <c r="L104" s="62">
        <f t="shared" si="110"/>
        <v>1</v>
      </c>
      <c r="M104" s="337">
        <f>188200+284800+50500-K104</f>
        <v>0</v>
      </c>
      <c r="O104" s="41" t="s">
        <v>72</v>
      </c>
      <c r="P104" s="388"/>
      <c r="Q104" s="418">
        <f>5/5*(188.2+284.8+50.5)</f>
        <v>523.5</v>
      </c>
      <c r="R104" s="421"/>
      <c r="S104" s="421"/>
      <c r="T104" s="421"/>
      <c r="U104" s="416"/>
      <c r="V104" s="417"/>
      <c r="W104" s="431">
        <f t="shared" si="111"/>
        <v>523.5</v>
      </c>
      <c r="X104" s="266">
        <f>7/7*(94100+142400+25300)+10/10*261700</f>
        <v>523500</v>
      </c>
      <c r="Y104" s="62">
        <f t="shared" si="112"/>
        <v>1</v>
      </c>
      <c r="AA104" s="245">
        <f t="shared" si="99"/>
        <v>261700</v>
      </c>
      <c r="AB104" s="103">
        <f>7/7*(94100+142400+25300)</f>
        <v>261800</v>
      </c>
      <c r="AC104" s="85"/>
      <c r="AD104" s="209"/>
      <c r="AE104" s="209"/>
      <c r="AF104" s="209"/>
      <c r="AG104" s="209"/>
      <c r="AH104" s="209"/>
      <c r="AI104" s="310"/>
      <c r="AJ104" s="310"/>
      <c r="AK104" s="228"/>
      <c r="AL104" s="228"/>
      <c r="AM104" s="228"/>
      <c r="AN104" s="73">
        <f t="shared" si="107"/>
        <v>261700</v>
      </c>
      <c r="AO104" s="119">
        <f t="shared" si="100"/>
        <v>0</v>
      </c>
      <c r="AP104" s="266">
        <f>7/7*(94100+142400+25300)+10/10*261700</f>
        <v>523500</v>
      </c>
      <c r="AQ104" s="118" t="s">
        <v>164</v>
      </c>
      <c r="AR104" s="119">
        <f>AO104-1.2/1.2*0-7/7*261800*0-10/10*261700*0</f>
        <v>0</v>
      </c>
      <c r="AU104" s="141">
        <f t="shared" si="101"/>
        <v>523500</v>
      </c>
      <c r="AV104" s="142"/>
      <c r="AW104" s="143">
        <f t="shared" si="102"/>
        <v>523500</v>
      </c>
      <c r="AX104" s="120"/>
      <c r="AY104" s="51"/>
      <c r="AZ104" s="144">
        <f t="shared" si="103"/>
        <v>523500</v>
      </c>
      <c r="BA104" s="142"/>
      <c r="BB104" s="145">
        <f t="shared" si="104"/>
        <v>523500</v>
      </c>
      <c r="BC104" s="146">
        <f t="shared" si="105"/>
        <v>0</v>
      </c>
    </row>
    <row r="105" spans="1:55" ht="12.75" hidden="1">
      <c r="A105" s="36" t="s">
        <v>99</v>
      </c>
      <c r="B105" s="361"/>
      <c r="C105" s="388"/>
      <c r="D105" s="418"/>
      <c r="E105" s="47"/>
      <c r="F105" s="47"/>
      <c r="G105" s="47"/>
      <c r="H105" s="416"/>
      <c r="I105" s="417"/>
      <c r="J105" s="388">
        <f t="shared" si="109"/>
        <v>0</v>
      </c>
      <c r="K105" s="103"/>
      <c r="L105" s="62" t="e">
        <f t="shared" si="110"/>
        <v>#DIV/0!</v>
      </c>
      <c r="O105" s="20"/>
      <c r="P105" s="388"/>
      <c r="Q105" s="418"/>
      <c r="R105" s="421"/>
      <c r="S105" s="421"/>
      <c r="T105" s="421"/>
      <c r="U105" s="416"/>
      <c r="V105" s="417"/>
      <c r="W105" s="431">
        <f t="shared" si="111"/>
        <v>0</v>
      </c>
      <c r="X105" s="105"/>
      <c r="Y105" s="62" t="e">
        <f t="shared" si="112"/>
        <v>#DIV/0!</v>
      </c>
      <c r="AA105" s="245">
        <f t="shared" si="99"/>
        <v>0</v>
      </c>
      <c r="AB105" s="103"/>
      <c r="AC105" s="85"/>
      <c r="AD105" s="209"/>
      <c r="AE105" s="209"/>
      <c r="AF105" s="209"/>
      <c r="AG105" s="209"/>
      <c r="AH105" s="209"/>
      <c r="AI105" s="310"/>
      <c r="AJ105" s="310"/>
      <c r="AK105" s="228"/>
      <c r="AL105" s="228"/>
      <c r="AM105" s="228"/>
      <c r="AN105" s="73">
        <f t="shared" si="107"/>
        <v>0</v>
      </c>
      <c r="AO105" s="119">
        <f t="shared" si="100"/>
        <v>0</v>
      </c>
      <c r="AP105" s="105"/>
      <c r="AQ105" s="118"/>
      <c r="AR105" s="119">
        <f t="shared" si="108"/>
        <v>0</v>
      </c>
      <c r="AU105" s="141">
        <f t="shared" si="101"/>
        <v>0</v>
      </c>
      <c r="AV105" s="142"/>
      <c r="AW105" s="143">
        <f t="shared" si="102"/>
        <v>0</v>
      </c>
      <c r="AX105" s="120"/>
      <c r="AY105" s="51"/>
      <c r="AZ105" s="144">
        <f t="shared" si="103"/>
        <v>0</v>
      </c>
      <c r="BA105" s="142"/>
      <c r="BB105" s="145">
        <f t="shared" si="104"/>
        <v>0</v>
      </c>
      <c r="BC105" s="146">
        <f t="shared" si="105"/>
        <v>0</v>
      </c>
    </row>
    <row r="106" spans="1:55" ht="12.75">
      <c r="A106" s="37" t="s">
        <v>100</v>
      </c>
      <c r="B106" s="362"/>
      <c r="C106" s="388"/>
      <c r="D106" s="418">
        <f>3/3*71.1</f>
        <v>71.1</v>
      </c>
      <c r="E106" s="47"/>
      <c r="F106" s="47"/>
      <c r="G106" s="47"/>
      <c r="H106" s="416"/>
      <c r="I106" s="417"/>
      <c r="J106" s="388">
        <f t="shared" si="109"/>
        <v>71.1</v>
      </c>
      <c r="K106" s="344">
        <f>4/4*71100</f>
        <v>71100</v>
      </c>
      <c r="L106" s="62">
        <f t="shared" si="110"/>
        <v>1</v>
      </c>
      <c r="M106" s="76"/>
      <c r="O106" s="41" t="s">
        <v>71</v>
      </c>
      <c r="P106" s="388"/>
      <c r="Q106" s="418">
        <f>3/3*71.1</f>
        <v>71.1</v>
      </c>
      <c r="R106" s="421"/>
      <c r="S106" s="421"/>
      <c r="T106" s="421"/>
      <c r="U106" s="416"/>
      <c r="V106" s="417"/>
      <c r="W106" s="431">
        <f t="shared" si="111"/>
        <v>71.1</v>
      </c>
      <c r="X106" s="105">
        <f>3/3*71100</f>
        <v>71100</v>
      </c>
      <c r="Y106" s="62">
        <f t="shared" si="112"/>
        <v>1</v>
      </c>
      <c r="AA106" s="245">
        <f t="shared" si="99"/>
        <v>0</v>
      </c>
      <c r="AB106" s="103">
        <f>4/4*71100</f>
        <v>71100</v>
      </c>
      <c r="AC106" s="85"/>
      <c r="AD106" s="209"/>
      <c r="AE106" s="209" t="s">
        <v>276</v>
      </c>
      <c r="AF106" s="209"/>
      <c r="AG106" s="209"/>
      <c r="AH106" s="209"/>
      <c r="AI106" s="310"/>
      <c r="AJ106" s="310"/>
      <c r="AK106" s="228"/>
      <c r="AL106" s="228"/>
      <c r="AM106" s="228"/>
      <c r="AN106" s="73">
        <f>AA106-0-4/4*71100*0</f>
        <v>0</v>
      </c>
      <c r="AO106" s="119">
        <f t="shared" si="100"/>
        <v>0</v>
      </c>
      <c r="AP106" s="105">
        <f>3/3*71100</f>
        <v>71100</v>
      </c>
      <c r="AQ106" s="118"/>
      <c r="AR106" s="119">
        <f>AO106-1.2/1.2*0-3/3*71100*0</f>
        <v>0</v>
      </c>
      <c r="AU106" s="141">
        <f t="shared" si="101"/>
        <v>71100</v>
      </c>
      <c r="AV106" s="142"/>
      <c r="AW106" s="143">
        <f t="shared" si="102"/>
        <v>71100</v>
      </c>
      <c r="AX106" s="120"/>
      <c r="AY106" s="51"/>
      <c r="AZ106" s="144">
        <f t="shared" si="103"/>
        <v>71100</v>
      </c>
      <c r="BA106" s="142"/>
      <c r="BB106" s="145">
        <f t="shared" si="104"/>
        <v>71100</v>
      </c>
      <c r="BC106" s="146">
        <f t="shared" si="105"/>
        <v>0</v>
      </c>
    </row>
    <row r="107" spans="1:55" ht="14.25" hidden="1">
      <c r="A107" s="36" t="s">
        <v>86</v>
      </c>
      <c r="B107" s="361"/>
      <c r="C107" s="388"/>
      <c r="D107" s="418"/>
      <c r="E107" s="47"/>
      <c r="F107" s="47"/>
      <c r="G107" s="47"/>
      <c r="H107" s="416"/>
      <c r="I107" s="417"/>
      <c r="J107" s="388">
        <f t="shared" si="109"/>
        <v>0</v>
      </c>
      <c r="K107" s="103"/>
      <c r="L107" s="70"/>
      <c r="O107" s="20" t="s">
        <v>87</v>
      </c>
      <c r="P107" s="388"/>
      <c r="Q107" s="418"/>
      <c r="R107" s="421"/>
      <c r="S107" s="421"/>
      <c r="T107" s="421"/>
      <c r="U107" s="416"/>
      <c r="V107" s="417"/>
      <c r="W107" s="431">
        <f t="shared" si="111"/>
        <v>0</v>
      </c>
      <c r="X107" s="105"/>
      <c r="Y107" s="70"/>
      <c r="AA107" s="246"/>
      <c r="AB107" s="103"/>
      <c r="AC107" s="85"/>
      <c r="AD107" s="209"/>
      <c r="AE107" s="227"/>
      <c r="AF107" s="227"/>
      <c r="AG107" s="227"/>
      <c r="AH107" s="227"/>
      <c r="AI107" s="311"/>
      <c r="AJ107" s="311"/>
      <c r="AK107" s="418"/>
      <c r="AL107" s="418"/>
      <c r="AM107" s="418"/>
      <c r="AN107" s="225"/>
      <c r="AO107" s="119">
        <f t="shared" si="100"/>
        <v>0</v>
      </c>
      <c r="AP107" s="105"/>
      <c r="AQ107" s="118"/>
      <c r="AR107" s="119">
        <f t="shared" si="108"/>
        <v>0</v>
      </c>
      <c r="AU107" s="141">
        <f t="shared" si="101"/>
        <v>0</v>
      </c>
      <c r="AV107" s="142"/>
      <c r="AW107" s="143">
        <f t="shared" si="102"/>
        <v>0</v>
      </c>
      <c r="AX107" s="120"/>
      <c r="AY107" s="51"/>
      <c r="AZ107" s="144">
        <f t="shared" si="103"/>
        <v>0</v>
      </c>
      <c r="BA107" s="142"/>
      <c r="BB107" s="145">
        <f t="shared" si="104"/>
        <v>0</v>
      </c>
      <c r="BC107" s="146">
        <f t="shared" si="105"/>
        <v>0</v>
      </c>
    </row>
    <row r="108" spans="1:55" ht="14.25" hidden="1">
      <c r="A108" s="36" t="s">
        <v>89</v>
      </c>
      <c r="B108" s="361"/>
      <c r="C108" s="388"/>
      <c r="D108" s="418"/>
      <c r="E108" s="47"/>
      <c r="F108" s="47"/>
      <c r="G108" s="47"/>
      <c r="H108" s="416"/>
      <c r="I108" s="417"/>
      <c r="J108" s="388">
        <f t="shared" si="109"/>
        <v>0</v>
      </c>
      <c r="K108" s="103"/>
      <c r="L108" s="70"/>
      <c r="O108" s="20"/>
      <c r="P108" s="388"/>
      <c r="Q108" s="418"/>
      <c r="R108" s="421"/>
      <c r="S108" s="421"/>
      <c r="T108" s="421"/>
      <c r="U108" s="416"/>
      <c r="V108" s="417"/>
      <c r="W108" s="431"/>
      <c r="X108" s="105"/>
      <c r="Y108" s="70"/>
      <c r="AA108" s="246"/>
      <c r="AB108" s="103"/>
      <c r="AC108" s="85"/>
      <c r="AD108" s="209"/>
      <c r="AE108" s="227"/>
      <c r="AF108" s="227"/>
      <c r="AG108" s="227"/>
      <c r="AH108" s="227"/>
      <c r="AI108" s="311"/>
      <c r="AJ108" s="311"/>
      <c r="AK108" s="418"/>
      <c r="AL108" s="418"/>
      <c r="AM108" s="418"/>
      <c r="AN108" s="225"/>
      <c r="AO108" s="119">
        <f t="shared" si="100"/>
        <v>0</v>
      </c>
      <c r="AP108" s="105"/>
      <c r="AQ108" s="118"/>
      <c r="AR108" s="119">
        <f t="shared" si="108"/>
        <v>0</v>
      </c>
      <c r="AU108" s="141">
        <f t="shared" si="101"/>
        <v>0</v>
      </c>
      <c r="AV108" s="142"/>
      <c r="AW108" s="143">
        <f t="shared" si="102"/>
        <v>0</v>
      </c>
      <c r="AX108" s="120"/>
      <c r="AY108" s="51"/>
      <c r="AZ108" s="144">
        <f t="shared" si="103"/>
        <v>0</v>
      </c>
      <c r="BA108" s="142"/>
      <c r="BB108" s="145">
        <f t="shared" si="104"/>
        <v>0</v>
      </c>
      <c r="BC108" s="146">
        <f t="shared" si="105"/>
        <v>0</v>
      </c>
    </row>
    <row r="109" spans="1:55" ht="14.25" hidden="1">
      <c r="A109" s="36" t="s">
        <v>90</v>
      </c>
      <c r="B109" s="361"/>
      <c r="C109" s="388"/>
      <c r="D109" s="418"/>
      <c r="E109" s="47"/>
      <c r="F109" s="47"/>
      <c r="G109" s="47"/>
      <c r="H109" s="416"/>
      <c r="I109" s="417"/>
      <c r="J109" s="388">
        <f t="shared" si="109"/>
        <v>0</v>
      </c>
      <c r="K109" s="103"/>
      <c r="L109" s="70"/>
      <c r="O109" s="20"/>
      <c r="P109" s="388"/>
      <c r="Q109" s="418"/>
      <c r="R109" s="421"/>
      <c r="S109" s="421"/>
      <c r="T109" s="421"/>
      <c r="U109" s="416"/>
      <c r="V109" s="417"/>
      <c r="W109" s="431">
        <f aca="true" t="shared" si="113" ref="W109:W125">SUM(P109:V109)</f>
        <v>0</v>
      </c>
      <c r="X109" s="105"/>
      <c r="Y109" s="70"/>
      <c r="AA109" s="246"/>
      <c r="AB109" s="103"/>
      <c r="AC109" s="85"/>
      <c r="AD109" s="209"/>
      <c r="AE109" s="227"/>
      <c r="AF109" s="227"/>
      <c r="AG109" s="227"/>
      <c r="AH109" s="227"/>
      <c r="AI109" s="311"/>
      <c r="AJ109" s="311"/>
      <c r="AK109" s="418"/>
      <c r="AL109" s="418"/>
      <c r="AM109" s="418"/>
      <c r="AN109" s="225"/>
      <c r="AO109" s="119">
        <f t="shared" si="100"/>
        <v>0</v>
      </c>
      <c r="AP109" s="105"/>
      <c r="AQ109" s="118"/>
      <c r="AR109" s="119">
        <f t="shared" si="108"/>
        <v>0</v>
      </c>
      <c r="AU109" s="141">
        <f t="shared" si="101"/>
        <v>0</v>
      </c>
      <c r="AV109" s="142"/>
      <c r="AW109" s="143">
        <f t="shared" si="102"/>
        <v>0</v>
      </c>
      <c r="AX109" s="120"/>
      <c r="AY109" s="51"/>
      <c r="AZ109" s="144">
        <f t="shared" si="103"/>
        <v>0</v>
      </c>
      <c r="BA109" s="142"/>
      <c r="BB109" s="145">
        <f t="shared" si="104"/>
        <v>0</v>
      </c>
      <c r="BC109" s="146">
        <f t="shared" si="105"/>
        <v>0</v>
      </c>
    </row>
    <row r="110" spans="1:55" ht="19.5">
      <c r="A110" s="36" t="s">
        <v>92</v>
      </c>
      <c r="B110" s="361"/>
      <c r="C110" s="388"/>
      <c r="D110" s="418">
        <f>6/6*81/81*200</f>
        <v>200</v>
      </c>
      <c r="E110" s="47"/>
      <c r="F110" s="47"/>
      <c r="G110" s="47"/>
      <c r="H110" s="416"/>
      <c r="I110" s="417"/>
      <c r="J110" s="388">
        <f t="shared" si="109"/>
        <v>200</v>
      </c>
      <c r="K110" s="344">
        <f>1.2/1.2*677.6*0+3/3*1016.4*0+4/4*1355.2*0+5/5*1694*0+(6/6*(2032.8*0+(34270+31022.23+45151+2661.28*0+7/7*5032.88*0+8/8*5371.68*0+9/9*5710.48*0+10/10*6049.28)))*0+11/11*152705.52*0+12/12*200000</f>
        <v>200000</v>
      </c>
      <c r="L110" s="70"/>
      <c r="M110" s="274">
        <f>3/3*115814.91</f>
        <v>115814.91</v>
      </c>
      <c r="O110" s="20" t="s">
        <v>93</v>
      </c>
      <c r="P110" s="388"/>
      <c r="Q110" s="418">
        <f>6/6*81/81*200</f>
        <v>200</v>
      </c>
      <c r="R110" s="421"/>
      <c r="S110" s="421"/>
      <c r="T110" s="421"/>
      <c r="U110" s="416"/>
      <c r="V110" s="417"/>
      <c r="W110" s="431">
        <f t="shared" si="113"/>
        <v>200</v>
      </c>
      <c r="X110" s="105">
        <f>6/6*200000</f>
        <v>200000</v>
      </c>
      <c r="Y110" s="62">
        <f>X110/(W110*1000)</f>
        <v>1</v>
      </c>
      <c r="AA110" s="245">
        <f aca="true" t="shared" si="114" ref="AA110:AA126">K110-AB110</f>
        <v>47294.48000000001</v>
      </c>
      <c r="AB110" s="103">
        <f>1.2/1.2*677.6*0+3/3*1016.4*0+4/4*1355.2*0+5/5*1694*0+(6/6*(2032.8*0+(34270+31022.23+45151+2661.28*0+7/7*5032.88*0+8/8*5371.68*0+9/9*5710.48*0+10/10*6049.28)))*0+11/11*152705.52</f>
        <v>152705.52</v>
      </c>
      <c r="AC110" s="85" t="s">
        <v>146</v>
      </c>
      <c r="AD110" s="201" t="s">
        <v>221</v>
      </c>
      <c r="AE110" s="201" t="s">
        <v>277</v>
      </c>
      <c r="AF110" s="201" t="s">
        <v>317</v>
      </c>
      <c r="AG110" s="201" t="s">
        <v>377</v>
      </c>
      <c r="AH110" s="201" t="s">
        <v>467</v>
      </c>
      <c r="AI110" s="229" t="s">
        <v>467</v>
      </c>
      <c r="AJ110" s="229" t="s">
        <v>518</v>
      </c>
      <c r="AK110" s="255" t="s">
        <v>518</v>
      </c>
      <c r="AL110" s="255" t="s">
        <v>623</v>
      </c>
      <c r="AM110" s="255"/>
      <c r="AN110" s="73">
        <f>AA110-1.2/1.2*677.6*0-3/3*338.8*(0+4/4*0+5/5*0+6/6*0+7/7*0+8/8)-6/6*(34270+31022.23+45151+2661.28)*0-7/7*338.8*(0-8/8+9/9*0+10/10*0)-11/11*(22000+23413.01-9200)*0</f>
        <v>47294.48000000001</v>
      </c>
      <c r="AO110" s="119">
        <f t="shared" si="100"/>
        <v>0</v>
      </c>
      <c r="AP110" s="105">
        <f>6/6*200000</f>
        <v>200000</v>
      </c>
      <c r="AQ110" s="118"/>
      <c r="AR110" s="119">
        <f>AO110-1.2/1.2*0-6/6*200000*0</f>
        <v>0</v>
      </c>
      <c r="AU110" s="141">
        <f t="shared" si="101"/>
        <v>200000</v>
      </c>
      <c r="AV110" s="142"/>
      <c r="AW110" s="143">
        <f t="shared" si="102"/>
        <v>200000</v>
      </c>
      <c r="AX110" s="120"/>
      <c r="AY110" s="51"/>
      <c r="AZ110" s="144">
        <f t="shared" si="103"/>
        <v>200000</v>
      </c>
      <c r="BA110" s="142"/>
      <c r="BB110" s="145">
        <f t="shared" si="104"/>
        <v>200000</v>
      </c>
      <c r="BC110" s="146">
        <f t="shared" si="105"/>
        <v>0</v>
      </c>
    </row>
    <row r="111" spans="1:55" ht="12.75" customHeight="1">
      <c r="A111" s="36" t="s">
        <v>236</v>
      </c>
      <c r="B111" s="361"/>
      <c r="C111" s="388"/>
      <c r="D111" s="418">
        <f>4/4*(6123/6123*7468.3+6121/6121*1445.5)</f>
        <v>8913.8</v>
      </c>
      <c r="E111" s="47"/>
      <c r="F111" s="47"/>
      <c r="G111" s="47"/>
      <c r="H111" s="416"/>
      <c r="I111" s="417"/>
      <c r="J111" s="388">
        <f t="shared" si="109"/>
        <v>8913.8</v>
      </c>
      <c r="K111" s="103">
        <f>6121/6121*2/2*409464*0+9/9*966064*0+10/10*993289*0+12/12*1445550+6123/6123*5/5*7468340.34</f>
        <v>8913890.34</v>
      </c>
      <c r="L111" s="70"/>
      <c r="M111" s="496">
        <f>K111+K115+K117+K119-11336290.21*0-10/10*13007928.2</f>
        <v>2921623</v>
      </c>
      <c r="O111" s="20" t="s">
        <v>93</v>
      </c>
      <c r="P111" s="388"/>
      <c r="Q111" s="418"/>
      <c r="R111" s="47"/>
      <c r="S111" s="47"/>
      <c r="T111" s="47"/>
      <c r="U111" s="416"/>
      <c r="V111" s="417"/>
      <c r="W111" s="431">
        <f t="shared" si="113"/>
        <v>0</v>
      </c>
      <c r="X111" s="105"/>
      <c r="Y111" s="70"/>
      <c r="AA111" s="245">
        <f t="shared" si="114"/>
        <v>452261</v>
      </c>
      <c r="AB111" s="103">
        <f>6121/6121*2/2*409464*0+9/9*966064*0+10/10*993289+6123/6123*5/5*7468340.34</f>
        <v>8461629.34</v>
      </c>
      <c r="AC111" s="85" t="s">
        <v>150</v>
      </c>
      <c r="AD111" s="209"/>
      <c r="AE111" s="209"/>
      <c r="AF111" s="209" t="s">
        <v>316</v>
      </c>
      <c r="AG111" s="209"/>
      <c r="AH111" s="209"/>
      <c r="AI111" s="310"/>
      <c r="AJ111" s="310" t="s">
        <v>517</v>
      </c>
      <c r="AK111" s="228" t="s">
        <v>567</v>
      </c>
      <c r="AL111" s="228"/>
      <c r="AM111" s="228"/>
      <c r="AN111" s="73">
        <f>AA111-2/2*409464*0-5/5*6123/6123*5/5*7468340.34*0-9/9*556600*0-10/10*27225*0</f>
        <v>452261</v>
      </c>
      <c r="AO111" s="119">
        <f t="shared" si="100"/>
        <v>0</v>
      </c>
      <c r="AP111" s="105"/>
      <c r="AQ111" s="118"/>
      <c r="AR111" s="119">
        <f t="shared" si="108"/>
        <v>0</v>
      </c>
      <c r="AU111" s="141">
        <f t="shared" si="101"/>
        <v>8913890.34</v>
      </c>
      <c r="AV111" s="142"/>
      <c r="AW111" s="143">
        <f t="shared" si="102"/>
        <v>8913890.34</v>
      </c>
      <c r="AX111" s="120"/>
      <c r="AY111" s="51"/>
      <c r="AZ111" s="144">
        <f t="shared" si="103"/>
        <v>0</v>
      </c>
      <c r="BA111" s="142"/>
      <c r="BB111" s="145">
        <f t="shared" si="104"/>
        <v>0</v>
      </c>
      <c r="BC111" s="146">
        <f t="shared" si="105"/>
        <v>-8913890.34</v>
      </c>
    </row>
    <row r="112" spans="1:55" ht="12.75" customHeight="1">
      <c r="A112" s="36" t="s">
        <v>324</v>
      </c>
      <c r="B112" s="361"/>
      <c r="C112" s="388"/>
      <c r="D112" s="418">
        <f>4/4*12500</f>
        <v>12500</v>
      </c>
      <c r="E112" s="47"/>
      <c r="F112" s="47"/>
      <c r="G112" s="47"/>
      <c r="H112" s="416"/>
      <c r="I112" s="417"/>
      <c r="J112" s="388">
        <f>SUM(C112:I112)</f>
        <v>12500</v>
      </c>
      <c r="K112" s="344">
        <f>12/12*2395113.75</f>
        <v>2395113.75</v>
      </c>
      <c r="L112" s="70"/>
      <c r="M112" s="374">
        <f>84/84*2614299.55-(K112+K116)</f>
        <v>0</v>
      </c>
      <c r="O112" s="20" t="s">
        <v>93</v>
      </c>
      <c r="P112" s="388"/>
      <c r="Q112" s="418">
        <f>4/4*12500</f>
        <v>12500</v>
      </c>
      <c r="R112" s="47"/>
      <c r="S112" s="47"/>
      <c r="T112" s="47"/>
      <c r="U112" s="416"/>
      <c r="V112" s="417"/>
      <c r="W112" s="431">
        <f>SUM(P112:V112)</f>
        <v>12500</v>
      </c>
      <c r="X112" s="105">
        <f>9/9*12500000</f>
        <v>12500000</v>
      </c>
      <c r="Y112" s="62">
        <f>X112/(W112*1000)</f>
        <v>1</v>
      </c>
      <c r="AA112" s="245">
        <f t="shared" si="114"/>
        <v>2395113.75</v>
      </c>
      <c r="AB112" s="103">
        <v>0</v>
      </c>
      <c r="AC112" s="85" t="s">
        <v>150</v>
      </c>
      <c r="AD112" s="209"/>
      <c r="AE112" s="209"/>
      <c r="AF112" s="209"/>
      <c r="AG112" s="209"/>
      <c r="AH112" s="209"/>
      <c r="AI112" s="310"/>
      <c r="AJ112" s="310"/>
      <c r="AK112" s="228"/>
      <c r="AL112" s="228"/>
      <c r="AM112" s="228"/>
      <c r="AN112" s="73">
        <f>AA112-2/2*409464*0</f>
        <v>2395113.75</v>
      </c>
      <c r="AO112" s="119">
        <f>X112-AP112</f>
        <v>0</v>
      </c>
      <c r="AP112" s="105">
        <f>9/9*12500000</f>
        <v>12500000</v>
      </c>
      <c r="AQ112" s="118" t="s">
        <v>164</v>
      </c>
      <c r="AR112" s="119">
        <f>AO112-1.2/1.2*0-9/9*12500000*0</f>
        <v>0</v>
      </c>
      <c r="AU112" s="141">
        <f>K112</f>
        <v>2395113.75</v>
      </c>
      <c r="AV112" s="142"/>
      <c r="AW112" s="143">
        <f>AU112+AV112</f>
        <v>2395113.75</v>
      </c>
      <c r="AX112" s="120"/>
      <c r="AY112" s="51"/>
      <c r="AZ112" s="144">
        <f>X112</f>
        <v>12500000</v>
      </c>
      <c r="BA112" s="142"/>
      <c r="BB112" s="145">
        <f>AZ112+BA112</f>
        <v>12500000</v>
      </c>
      <c r="BC112" s="146">
        <f>BB112-AW112</f>
        <v>10104886.25</v>
      </c>
    </row>
    <row r="113" spans="1:55" ht="19.5">
      <c r="A113" s="36" t="s">
        <v>516</v>
      </c>
      <c r="B113" s="361"/>
      <c r="C113" s="388"/>
      <c r="D113" s="420"/>
      <c r="E113" s="47"/>
      <c r="F113" s="47"/>
      <c r="G113" s="47"/>
      <c r="H113" s="416"/>
      <c r="I113" s="417"/>
      <c r="J113" s="388">
        <f t="shared" si="109"/>
        <v>0</v>
      </c>
      <c r="K113" s="103">
        <f>2/2*90000</f>
        <v>90000</v>
      </c>
      <c r="L113" s="70"/>
      <c r="M113" s="74"/>
      <c r="O113" s="20" t="s">
        <v>103</v>
      </c>
      <c r="P113" s="388"/>
      <c r="Q113" s="418"/>
      <c r="R113" s="47"/>
      <c r="S113" s="47"/>
      <c r="T113" s="47"/>
      <c r="U113" s="416"/>
      <c r="V113" s="417"/>
      <c r="W113" s="432"/>
      <c r="X113" s="224"/>
      <c r="Y113" s="70"/>
      <c r="AA113" s="245">
        <f t="shared" si="114"/>
        <v>0</v>
      </c>
      <c r="AB113" s="344">
        <f>2/2*90000</f>
        <v>90000</v>
      </c>
      <c r="AC113" s="85" t="s">
        <v>237</v>
      </c>
      <c r="AD113" s="209"/>
      <c r="AE113" s="209"/>
      <c r="AF113" s="209"/>
      <c r="AG113" s="209"/>
      <c r="AH113" s="209"/>
      <c r="AI113" s="310"/>
      <c r="AJ113" s="310"/>
      <c r="AK113" s="228"/>
      <c r="AL113" s="228"/>
      <c r="AM113" s="228"/>
      <c r="AN113" s="73">
        <f>AA113-1/1*(90000+(1/1*(31460+10890+19360)-2/2*(19360+31460+18150))*0)*0</f>
        <v>0</v>
      </c>
      <c r="AO113" s="119">
        <f t="shared" si="100"/>
        <v>0</v>
      </c>
      <c r="AP113" s="224"/>
      <c r="AQ113" s="118"/>
      <c r="AR113" s="119">
        <f t="shared" si="108"/>
        <v>0</v>
      </c>
      <c r="AU113" s="141">
        <f t="shared" si="101"/>
        <v>90000</v>
      </c>
      <c r="AV113" s="142"/>
      <c r="AW113" s="143">
        <f t="shared" si="102"/>
        <v>90000</v>
      </c>
      <c r="AX113" s="120"/>
      <c r="AY113" s="51"/>
      <c r="AZ113" s="144">
        <f t="shared" si="103"/>
        <v>0</v>
      </c>
      <c r="BA113" s="142"/>
      <c r="BB113" s="145">
        <f t="shared" si="104"/>
        <v>0</v>
      </c>
      <c r="BC113" s="146">
        <f t="shared" si="105"/>
        <v>-90000</v>
      </c>
    </row>
    <row r="114" spans="1:55" ht="14.25" hidden="1">
      <c r="A114" s="36" t="s">
        <v>101</v>
      </c>
      <c r="B114" s="361"/>
      <c r="C114" s="388"/>
      <c r="D114" s="420"/>
      <c r="E114" s="47"/>
      <c r="F114" s="47"/>
      <c r="G114" s="47"/>
      <c r="H114" s="416"/>
      <c r="I114" s="417"/>
      <c r="J114" s="388">
        <f t="shared" si="109"/>
        <v>0</v>
      </c>
      <c r="K114" s="103"/>
      <c r="L114" s="70"/>
      <c r="O114" s="20" t="s">
        <v>104</v>
      </c>
      <c r="P114" s="388"/>
      <c r="Q114" s="418"/>
      <c r="R114" s="47"/>
      <c r="S114" s="47"/>
      <c r="T114" s="47"/>
      <c r="U114" s="416"/>
      <c r="V114" s="417"/>
      <c r="W114" s="388">
        <f t="shared" si="113"/>
        <v>0</v>
      </c>
      <c r="X114" s="224"/>
      <c r="Y114" s="70"/>
      <c r="AA114" s="245">
        <f t="shared" si="114"/>
        <v>0</v>
      </c>
      <c r="AB114" s="103"/>
      <c r="AC114" s="85"/>
      <c r="AD114" s="209"/>
      <c r="AE114" s="227"/>
      <c r="AF114" s="227"/>
      <c r="AG114" s="227"/>
      <c r="AH114" s="227"/>
      <c r="AI114" s="311"/>
      <c r="AJ114" s="311"/>
      <c r="AK114" s="418"/>
      <c r="AL114" s="418"/>
      <c r="AM114" s="418"/>
      <c r="AN114" s="283"/>
      <c r="AO114" s="119">
        <f t="shared" si="100"/>
        <v>0</v>
      </c>
      <c r="AP114" s="224"/>
      <c r="AQ114" s="118"/>
      <c r="AR114" s="119">
        <f t="shared" si="108"/>
        <v>0</v>
      </c>
      <c r="AU114" s="141">
        <f t="shared" si="101"/>
        <v>0</v>
      </c>
      <c r="AV114" s="142"/>
      <c r="AW114" s="143">
        <f t="shared" si="102"/>
        <v>0</v>
      </c>
      <c r="AX114" s="120"/>
      <c r="AY114" s="51"/>
      <c r="AZ114" s="144">
        <f t="shared" si="103"/>
        <v>0</v>
      </c>
      <c r="BA114" s="142"/>
      <c r="BB114" s="145">
        <f t="shared" si="104"/>
        <v>0</v>
      </c>
      <c r="BC114" s="146">
        <f t="shared" si="105"/>
        <v>0</v>
      </c>
    </row>
    <row r="115" spans="1:55" ht="22.5">
      <c r="A115" s="36" t="s">
        <v>252</v>
      </c>
      <c r="B115" s="361"/>
      <c r="C115" s="388"/>
      <c r="D115" s="420">
        <f>4/4*90/90*10000</f>
        <v>10000</v>
      </c>
      <c r="E115" s="47"/>
      <c r="F115" s="47"/>
      <c r="G115" s="47"/>
      <c r="H115" s="416"/>
      <c r="I115" s="417"/>
      <c r="J115" s="388">
        <f>SUM(C115:I115)</f>
        <v>10000</v>
      </c>
      <c r="K115" s="103">
        <f>6/6*338800*0+7/7*355740*0+8/8*508367*0+9/9*1188038.52*0+10/10*2832451.51*0+11/11*4571057.82*0+12/12*5301813.51</f>
        <v>5301813.51</v>
      </c>
      <c r="L115" s="62">
        <f>K115/(J115*1000)</f>
        <v>0.530181351</v>
      </c>
      <c r="M115" s="74"/>
      <c r="O115" s="20" t="s">
        <v>253</v>
      </c>
      <c r="P115" s="388"/>
      <c r="Q115" s="418"/>
      <c r="R115" s="47"/>
      <c r="S115" s="47"/>
      <c r="T115" s="47"/>
      <c r="U115" s="416"/>
      <c r="V115" s="417"/>
      <c r="W115" s="432"/>
      <c r="X115" s="224"/>
      <c r="Y115" s="70"/>
      <c r="AA115" s="245">
        <f t="shared" si="114"/>
        <v>730755.6899999995</v>
      </c>
      <c r="AB115" s="344">
        <f>6/6*338800*0+7/7*355740*0+8/8*508367*0+9/9*1188038.52*0+10/10*2832451.51*0+11/11*4571057.82</f>
        <v>4571057.82</v>
      </c>
      <c r="AC115" s="85" t="s">
        <v>237</v>
      </c>
      <c r="AD115" s="209"/>
      <c r="AE115" s="209"/>
      <c r="AF115" s="209"/>
      <c r="AG115" s="209" t="s">
        <v>346</v>
      </c>
      <c r="AH115" s="209" t="s">
        <v>401</v>
      </c>
      <c r="AI115" s="310" t="s">
        <v>445</v>
      </c>
      <c r="AJ115" s="310" t="s">
        <v>509</v>
      </c>
      <c r="AK115" s="228" t="s">
        <v>550</v>
      </c>
      <c r="AL115" s="228" t="s">
        <v>597</v>
      </c>
      <c r="AM115" s="228" t="s">
        <v>659</v>
      </c>
      <c r="AN115" s="73">
        <f>AA115-1/1*(90000+(1/1*(31460+10890+19360)-2/2*(19360+31460+18150))*0)*0-6/6*338800*0-7/7*16940*0-8/8*(21175+131452)*0-9/9*(637321.52+42350)*0-10/10*(439446.59+1168666.4+36300)*0-11/11*(773564+30250+931592.31+3200)*0-12/12*(15417+492698.69+133100+30250+59290)</f>
        <v>0</v>
      </c>
      <c r="AO115" s="119">
        <f>X115-AP115</f>
        <v>0</v>
      </c>
      <c r="AP115" s="224"/>
      <c r="AQ115" s="118"/>
      <c r="AR115" s="119">
        <f>AO115-1.2/1.2*0</f>
        <v>0</v>
      </c>
      <c r="AU115" s="141">
        <f>K115</f>
        <v>5301813.51</v>
      </c>
      <c r="AV115" s="142"/>
      <c r="AW115" s="143">
        <f>AU115+AV115</f>
        <v>5301813.51</v>
      </c>
      <c r="AX115" s="120"/>
      <c r="AY115" s="51"/>
      <c r="AZ115" s="144">
        <f>X115</f>
        <v>0</v>
      </c>
      <c r="BA115" s="142"/>
      <c r="BB115" s="145">
        <f>AZ115+BA115</f>
        <v>0</v>
      </c>
      <c r="BC115" s="146">
        <f>BB115-AW115</f>
        <v>-5301813.51</v>
      </c>
    </row>
    <row r="116" spans="1:55" ht="12.75">
      <c r="A116" s="37" t="s">
        <v>242</v>
      </c>
      <c r="B116" s="362"/>
      <c r="C116" s="388"/>
      <c r="D116" s="418">
        <f>4/4*15000+9/9*7000</f>
        <v>22000</v>
      </c>
      <c r="E116" s="47"/>
      <c r="F116" s="47"/>
      <c r="G116" s="47"/>
      <c r="H116" s="416"/>
      <c r="I116" s="417"/>
      <c r="J116" s="388">
        <f>SUM(C116:I116)</f>
        <v>22000</v>
      </c>
      <c r="K116" s="344">
        <f>6/6*8470*0+8/8*124469.8*0+9/9*158954.8*0+11/11*176109.8*0+12/12*219185.8</f>
        <v>219185.8</v>
      </c>
      <c r="L116" s="70"/>
      <c r="O116" s="41" t="s">
        <v>240</v>
      </c>
      <c r="P116" s="388"/>
      <c r="Q116" s="418">
        <f>4/4*15000+9/9*7000</f>
        <v>22000</v>
      </c>
      <c r="R116" s="47"/>
      <c r="S116" s="47"/>
      <c r="T116" s="47"/>
      <c r="U116" s="416"/>
      <c r="V116" s="417"/>
      <c r="W116" s="431">
        <f>SUM(P116:V116)</f>
        <v>22000</v>
      </c>
      <c r="X116" s="105">
        <f>4/4*0+9/9*15000000+10/10*7000000</f>
        <v>22000000</v>
      </c>
      <c r="Y116" s="62">
        <f>X116/(W116*1000)</f>
        <v>1</v>
      </c>
      <c r="AA116" s="245">
        <f t="shared" si="114"/>
        <v>43076</v>
      </c>
      <c r="AB116" s="344">
        <f>6/6*8470*0+8/8*124469.8*0+9/9*158954.8*0+11/11*176109.8</f>
        <v>176109.8</v>
      </c>
      <c r="AC116" s="85"/>
      <c r="AD116" s="209"/>
      <c r="AE116" s="209"/>
      <c r="AF116" s="209"/>
      <c r="AG116" s="209" t="s">
        <v>347</v>
      </c>
      <c r="AH116" s="209"/>
      <c r="AI116" s="310" t="s">
        <v>446</v>
      </c>
      <c r="AJ116" s="310" t="s">
        <v>510</v>
      </c>
      <c r="AK116" s="228"/>
      <c r="AL116" s="228" t="s">
        <v>598</v>
      </c>
      <c r="AM116" s="228" t="s">
        <v>655</v>
      </c>
      <c r="AN116" s="73">
        <f>AA116-6/6*8470*0-8/8*(110110+5889.8)*0-9/9*34485*0-11/11*17155*0-12/12*43076</f>
        <v>0</v>
      </c>
      <c r="AO116" s="119">
        <f>X116-AP116</f>
        <v>0</v>
      </c>
      <c r="AP116" s="105">
        <f>4/4*0+9/9*15000000+10/10*7000000</f>
        <v>22000000</v>
      </c>
      <c r="AQ116" s="118" t="s">
        <v>164</v>
      </c>
      <c r="AR116" s="119">
        <f>AO116-9/9*15000000*0-10/10*7000000*0</f>
        <v>0</v>
      </c>
      <c r="AU116" s="141">
        <f>K116</f>
        <v>219185.8</v>
      </c>
      <c r="AV116" s="142"/>
      <c r="AW116" s="143">
        <f>AU116+AV116</f>
        <v>219185.8</v>
      </c>
      <c r="AX116" s="120"/>
      <c r="AY116" s="51"/>
      <c r="AZ116" s="144">
        <f>X116</f>
        <v>22000000</v>
      </c>
      <c r="BA116" s="142"/>
      <c r="BB116" s="145">
        <f>AZ116+BA116</f>
        <v>22000000</v>
      </c>
      <c r="BC116" s="146">
        <f>BB116-AW116</f>
        <v>21780814.2</v>
      </c>
    </row>
    <row r="117" spans="1:55" ht="22.5">
      <c r="A117" s="36" t="s">
        <v>238</v>
      </c>
      <c r="B117" s="361"/>
      <c r="C117" s="388"/>
      <c r="D117" s="420">
        <f>4/4*90/90*1593.8</f>
        <v>1593.8</v>
      </c>
      <c r="E117" s="47"/>
      <c r="F117" s="47"/>
      <c r="G117" s="47"/>
      <c r="H117" s="416"/>
      <c r="I117" s="417"/>
      <c r="J117" s="388">
        <f t="shared" si="109"/>
        <v>1593.8</v>
      </c>
      <c r="K117" s="103">
        <f>2/2*80250/80250*864085.2*0+3/3*1335501.2*0+4/4*(2544218.6-16/16*950463.75)*0+8/8*(3452075.06-16/16*1858320.21)</f>
        <v>1593754.85</v>
      </c>
      <c r="L117" s="62">
        <f>K117/(J117*1000)</f>
        <v>0.9999716714769733</v>
      </c>
      <c r="M117" s="277">
        <f>7/7*9947391.69-(K111+K115+K117+K119)</f>
        <v>-5982159.51</v>
      </c>
      <c r="O117" s="20" t="s">
        <v>105</v>
      </c>
      <c r="P117" s="388"/>
      <c r="Q117" s="418"/>
      <c r="R117" s="47"/>
      <c r="S117" s="47"/>
      <c r="T117" s="47"/>
      <c r="U117" s="416"/>
      <c r="V117" s="417"/>
      <c r="W117" s="431">
        <f t="shared" si="113"/>
        <v>0</v>
      </c>
      <c r="X117" s="105"/>
      <c r="Y117" s="70"/>
      <c r="AA117" s="245">
        <f t="shared" si="114"/>
        <v>0</v>
      </c>
      <c r="AB117" s="103">
        <f>2/2*80250/80250*864085.2*0+3/3*1335501.2*0+4/4*(2544218.6-16/16*950463.75)*0+8/8*(3452075.06-16/16*1858320.21)</f>
        <v>1593754.85</v>
      </c>
      <c r="AC117" s="85"/>
      <c r="AD117" s="201" t="s">
        <v>190</v>
      </c>
      <c r="AE117" s="201" t="s">
        <v>246</v>
      </c>
      <c r="AF117" s="201"/>
      <c r="AG117" s="201"/>
      <c r="AH117" s="201"/>
      <c r="AI117" s="229"/>
      <c r="AJ117" s="229"/>
      <c r="AK117" s="255"/>
      <c r="AL117" s="255"/>
      <c r="AM117" s="255"/>
      <c r="AN117" s="73">
        <f>AA117-3/3*471416*0-4/4*(1208717.4-16/16*950463.75)*0</f>
        <v>0</v>
      </c>
      <c r="AO117" s="119">
        <f t="shared" si="100"/>
        <v>0</v>
      </c>
      <c r="AP117" s="105"/>
      <c r="AQ117" s="118"/>
      <c r="AR117" s="119">
        <f t="shared" si="108"/>
        <v>0</v>
      </c>
      <c r="AU117" s="141">
        <f t="shared" si="101"/>
        <v>1593754.85</v>
      </c>
      <c r="AV117" s="142"/>
      <c r="AW117" s="143">
        <f t="shared" si="102"/>
        <v>1593754.85</v>
      </c>
      <c r="AX117" s="120"/>
      <c r="AY117" s="51"/>
      <c r="AZ117" s="144">
        <f t="shared" si="103"/>
        <v>0</v>
      </c>
      <c r="BA117" s="142"/>
      <c r="BB117" s="145">
        <f t="shared" si="104"/>
        <v>0</v>
      </c>
      <c r="BC117" s="146">
        <f t="shared" si="105"/>
        <v>-1593754.85</v>
      </c>
    </row>
    <row r="118" spans="1:44" ht="14.25" hidden="1">
      <c r="A118" s="36" t="s">
        <v>102</v>
      </c>
      <c r="B118" s="361"/>
      <c r="C118" s="388"/>
      <c r="D118" s="420"/>
      <c r="E118" s="47"/>
      <c r="F118" s="47"/>
      <c r="G118" s="47"/>
      <c r="H118" s="416"/>
      <c r="I118" s="417"/>
      <c r="J118" s="388">
        <f t="shared" si="109"/>
        <v>0</v>
      </c>
      <c r="K118" s="103"/>
      <c r="L118" s="70"/>
      <c r="O118" s="20" t="s">
        <v>105</v>
      </c>
      <c r="P118" s="388"/>
      <c r="Q118" s="418"/>
      <c r="R118" s="47"/>
      <c r="S118" s="47"/>
      <c r="T118" s="47"/>
      <c r="U118" s="416"/>
      <c r="V118" s="417"/>
      <c r="W118" s="431">
        <f t="shared" si="113"/>
        <v>0</v>
      </c>
      <c r="X118" s="105"/>
      <c r="Y118" s="70"/>
      <c r="AA118" s="247"/>
      <c r="AB118" s="103"/>
      <c r="AC118" s="85"/>
      <c r="AD118" s="201"/>
      <c r="AE118" s="201"/>
      <c r="AF118" s="201"/>
      <c r="AG118" s="201"/>
      <c r="AH118" s="201"/>
      <c r="AI118" s="229"/>
      <c r="AJ118" s="229"/>
      <c r="AK118" s="255"/>
      <c r="AL118" s="255"/>
      <c r="AM118" s="255"/>
      <c r="AN118" s="284"/>
      <c r="AO118" s="119">
        <f t="shared" si="100"/>
        <v>0</v>
      </c>
      <c r="AP118" s="105"/>
      <c r="AQ118" s="118"/>
      <c r="AR118" s="119">
        <f t="shared" si="108"/>
        <v>0</v>
      </c>
    </row>
    <row r="119" spans="1:55" ht="12.75">
      <c r="A119" s="36" t="s">
        <v>422</v>
      </c>
      <c r="B119" s="361"/>
      <c r="C119" s="388"/>
      <c r="D119" s="420">
        <f>4/4*90/90*28000</f>
        <v>28000</v>
      </c>
      <c r="E119" s="47"/>
      <c r="F119" s="47"/>
      <c r="G119" s="47"/>
      <c r="H119" s="416"/>
      <c r="I119" s="417"/>
      <c r="J119" s="388">
        <f t="shared" si="109"/>
        <v>28000</v>
      </c>
      <c r="K119" s="103">
        <f>7/7*120092.5</f>
        <v>120092.5</v>
      </c>
      <c r="L119" s="70"/>
      <c r="M119" s="289">
        <f>81/81*(K93+K100+K101+K102+K106+K110)-9/9*4041549.55</f>
        <v>2127150.45</v>
      </c>
      <c r="O119" s="20"/>
      <c r="P119" s="388"/>
      <c r="Q119" s="418"/>
      <c r="R119" s="47"/>
      <c r="S119" s="47"/>
      <c r="T119" s="47"/>
      <c r="U119" s="416"/>
      <c r="V119" s="417"/>
      <c r="W119" s="431">
        <f t="shared" si="113"/>
        <v>0</v>
      </c>
      <c r="X119" s="105"/>
      <c r="Y119" s="70"/>
      <c r="AA119" s="245">
        <f t="shared" si="114"/>
        <v>0</v>
      </c>
      <c r="AB119" s="103">
        <f>7/7*120092.5</f>
        <v>120092.5</v>
      </c>
      <c r="AC119" s="85"/>
      <c r="AD119" s="201"/>
      <c r="AE119" s="201"/>
      <c r="AF119" s="201"/>
      <c r="AG119" s="201"/>
      <c r="AH119" s="201" t="s">
        <v>392</v>
      </c>
      <c r="AI119" s="229"/>
      <c r="AJ119" s="229"/>
      <c r="AK119" s="255"/>
      <c r="AL119" s="255"/>
      <c r="AM119" s="255"/>
      <c r="AN119" s="73">
        <f>AA119-7/7*120092.5*0</f>
        <v>0</v>
      </c>
      <c r="AO119" s="119">
        <f t="shared" si="100"/>
        <v>0</v>
      </c>
      <c r="AP119" s="105"/>
      <c r="AQ119" s="118"/>
      <c r="AR119" s="119">
        <f t="shared" si="108"/>
        <v>0</v>
      </c>
      <c r="AU119" s="141">
        <f>K119</f>
        <v>120092.5</v>
      </c>
      <c r="AV119" s="142"/>
      <c r="AW119" s="143">
        <f>AU119+AV119</f>
        <v>120092.5</v>
      </c>
      <c r="AX119" s="120"/>
      <c r="AY119" s="51"/>
      <c r="AZ119" s="144">
        <f>X119</f>
        <v>0</v>
      </c>
      <c r="BA119" s="142"/>
      <c r="BB119" s="145">
        <f>AZ119+BA119</f>
        <v>0</v>
      </c>
      <c r="BC119" s="146">
        <f>BB119-AW119</f>
        <v>-120092.5</v>
      </c>
    </row>
    <row r="120" spans="1:44" ht="12.75" hidden="1">
      <c r="A120" s="36" t="s">
        <v>96</v>
      </c>
      <c r="B120" s="361"/>
      <c r="C120" s="388"/>
      <c r="D120" s="418"/>
      <c r="E120" s="47"/>
      <c r="F120" s="47"/>
      <c r="G120" s="47"/>
      <c r="H120" s="416"/>
      <c r="I120" s="417"/>
      <c r="J120" s="388">
        <f t="shared" si="109"/>
        <v>0</v>
      </c>
      <c r="K120" s="103"/>
      <c r="L120" s="70"/>
      <c r="O120" s="20"/>
      <c r="P120" s="388"/>
      <c r="Q120" s="418"/>
      <c r="R120" s="421"/>
      <c r="S120" s="421"/>
      <c r="T120" s="421"/>
      <c r="U120" s="416"/>
      <c r="V120" s="417"/>
      <c r="W120" s="431"/>
      <c r="X120" s="105"/>
      <c r="Y120" s="70"/>
      <c r="AA120" s="245">
        <f t="shared" si="114"/>
        <v>0</v>
      </c>
      <c r="AB120" s="103"/>
      <c r="AC120" s="85"/>
      <c r="AD120" s="201"/>
      <c r="AE120" s="201"/>
      <c r="AF120" s="201"/>
      <c r="AG120" s="201"/>
      <c r="AH120" s="201"/>
      <c r="AI120" s="229"/>
      <c r="AJ120" s="229"/>
      <c r="AK120" s="255"/>
      <c r="AL120" s="255"/>
      <c r="AM120" s="255"/>
      <c r="AN120" s="73">
        <f>AA120-0</f>
        <v>0</v>
      </c>
      <c r="AO120" s="119">
        <f t="shared" si="100"/>
        <v>0</v>
      </c>
      <c r="AP120" s="105"/>
      <c r="AQ120" s="118"/>
      <c r="AR120" s="119">
        <f t="shared" si="108"/>
        <v>0</v>
      </c>
    </row>
    <row r="121" spans="1:55" s="13" customFormat="1" ht="12.75">
      <c r="A121" s="36" t="s">
        <v>705</v>
      </c>
      <c r="B121" s="361"/>
      <c r="C121" s="388"/>
      <c r="D121" s="420">
        <f>11/11*45249.8</f>
        <v>45249.8</v>
      </c>
      <c r="E121" s="47"/>
      <c r="F121" s="47"/>
      <c r="G121" s="47"/>
      <c r="H121" s="416"/>
      <c r="I121" s="417"/>
      <c r="J121" s="388">
        <f>SUM(C121:I121)</f>
        <v>45249.8</v>
      </c>
      <c r="K121" s="103">
        <v>0</v>
      </c>
      <c r="L121" s="70"/>
      <c r="M121" s="497">
        <f>90/90*(K111+K115+K117+K119)</f>
        <v>15929551.2</v>
      </c>
      <c r="O121" s="20" t="s">
        <v>589</v>
      </c>
      <c r="P121" s="388"/>
      <c r="Q121" s="418">
        <f>11/11*45249.8</f>
        <v>45249.8</v>
      </c>
      <c r="R121" s="47"/>
      <c r="S121" s="47"/>
      <c r="T121" s="47"/>
      <c r="U121" s="416"/>
      <c r="V121" s="417"/>
      <c r="W121" s="431">
        <f>SUM(P121:V121)</f>
        <v>45249.8</v>
      </c>
      <c r="X121" s="105">
        <f>11/11*45249800</f>
        <v>45249800</v>
      </c>
      <c r="Y121" s="62">
        <f>X121/(W121*1000)</f>
        <v>1</v>
      </c>
      <c r="Z121" s="167"/>
      <c r="AA121" s="245">
        <f>K121-AB121</f>
        <v>0</v>
      </c>
      <c r="AB121" s="103"/>
      <c r="AC121" s="85"/>
      <c r="AD121" s="201"/>
      <c r="AE121" s="201"/>
      <c r="AF121" s="201"/>
      <c r="AG121" s="201"/>
      <c r="AH121" s="201" t="s">
        <v>392</v>
      </c>
      <c r="AI121" s="229"/>
      <c r="AJ121" s="229"/>
      <c r="AK121" s="255"/>
      <c r="AL121" s="255"/>
      <c r="AM121" s="255"/>
      <c r="AN121" s="372">
        <f>AA121-0</f>
        <v>0</v>
      </c>
      <c r="AO121" s="371">
        <f>X121-AP121</f>
        <v>0</v>
      </c>
      <c r="AP121" s="105">
        <f>11/11*45249800</f>
        <v>45249800</v>
      </c>
      <c r="AQ121" s="370"/>
      <c r="AR121" s="371">
        <f>AO121-1.2/1.2*0</f>
        <v>0</v>
      </c>
      <c r="AU121" s="498">
        <f>K121</f>
        <v>0</v>
      </c>
      <c r="AV121" s="341"/>
      <c r="AW121" s="499">
        <f>AU121+AV121</f>
        <v>0</v>
      </c>
      <c r="AX121" s="500"/>
      <c r="AY121" s="51"/>
      <c r="AZ121" s="501">
        <f>X121</f>
        <v>45249800</v>
      </c>
      <c r="BA121" s="341"/>
      <c r="BB121" s="502">
        <f>AZ121+BA121</f>
        <v>45249800</v>
      </c>
      <c r="BC121" s="503">
        <f>BB121-AW121</f>
        <v>45249800</v>
      </c>
    </row>
    <row r="122" spans="1:55" ht="12.75">
      <c r="A122" s="36" t="s">
        <v>494</v>
      </c>
      <c r="B122" s="361"/>
      <c r="C122" s="388"/>
      <c r="D122" s="418">
        <f>9/9*4008.5+6680.9</f>
        <v>10689.4</v>
      </c>
      <c r="E122" s="47"/>
      <c r="F122" s="47"/>
      <c r="G122" s="47"/>
      <c r="H122" s="416"/>
      <c r="I122" s="417"/>
      <c r="J122" s="388">
        <f>SUM(C122:I122)</f>
        <v>10689.4</v>
      </c>
      <c r="K122" s="103">
        <f>11/11*(4008500+6680900)*0+12/12*(13801165.47-108100104/108100104*90000-16/16*3021765.47)</f>
        <v>10689400</v>
      </c>
      <c r="L122" s="70"/>
      <c r="M122" s="377">
        <f>(84/84*(J121+J112+J116+J124)-(K121+K112+K116+K124))*0+3112/3112*(13801165.47-90000-16/16*3021765.47-K122)</f>
        <v>0</v>
      </c>
      <c r="O122" s="20" t="s">
        <v>495</v>
      </c>
      <c r="P122" s="388"/>
      <c r="Q122" s="418">
        <f>9/9*4008.5+6680.9</f>
        <v>10689.4</v>
      </c>
      <c r="R122" s="421"/>
      <c r="S122" s="421"/>
      <c r="T122" s="421"/>
      <c r="U122" s="416"/>
      <c r="V122" s="417"/>
      <c r="W122" s="431">
        <f>SUM(P122:V122)</f>
        <v>10689.4</v>
      </c>
      <c r="X122" s="105">
        <f>12/12*(2072952.47+3454920.77)</f>
        <v>5527873.24</v>
      </c>
      <c r="Y122" s="62">
        <f>X122/(W122*1000)</f>
        <v>0.5171359702134826</v>
      </c>
      <c r="AA122" s="245">
        <f t="shared" si="114"/>
        <v>0</v>
      </c>
      <c r="AB122" s="344">
        <f>11/11*(4008500+6680900)</f>
        <v>10689400</v>
      </c>
      <c r="AC122" s="85"/>
      <c r="AD122" s="201"/>
      <c r="AE122" s="201"/>
      <c r="AF122" s="201"/>
      <c r="AG122" s="201"/>
      <c r="AH122" s="201"/>
      <c r="AI122" s="229"/>
      <c r="AJ122" s="229"/>
      <c r="AK122" s="255"/>
      <c r="AL122" s="255" t="s">
        <v>600</v>
      </c>
      <c r="AM122" s="255" t="s">
        <v>656</v>
      </c>
      <c r="AN122" s="73">
        <f>AA122-7/7*120092.5*0-11/11*(4008500+6680900)*0</f>
        <v>0</v>
      </c>
      <c r="AO122" s="119"/>
      <c r="AP122" s="105"/>
      <c r="AQ122" s="118"/>
      <c r="AR122" s="371">
        <f>AO122-1.2/1.2*0</f>
        <v>0</v>
      </c>
      <c r="AU122" s="141">
        <f>K122</f>
        <v>10689400</v>
      </c>
      <c r="AV122" s="142"/>
      <c r="AW122" s="143">
        <f>AU122+AV122</f>
        <v>10689400</v>
      </c>
      <c r="AX122" s="120"/>
      <c r="AY122" s="51"/>
      <c r="AZ122" s="144">
        <f>X122</f>
        <v>5527873.24</v>
      </c>
      <c r="BA122" s="142"/>
      <c r="BB122" s="145">
        <f>AZ122+BA122</f>
        <v>5527873.24</v>
      </c>
      <c r="BC122" s="146">
        <f>BB122-AW122</f>
        <v>-5161526.76</v>
      </c>
    </row>
    <row r="123" spans="1:55" ht="24.75">
      <c r="A123" s="36" t="s">
        <v>706</v>
      </c>
      <c r="B123" s="361"/>
      <c r="C123" s="388"/>
      <c r="D123" s="418">
        <f>9/9*500+300+12/12*(7200)</f>
        <v>8000</v>
      </c>
      <c r="E123" s="47"/>
      <c r="F123" s="47"/>
      <c r="G123" s="47"/>
      <c r="H123" s="416"/>
      <c r="I123" s="417"/>
      <c r="J123" s="388">
        <f>SUM(C123:I123)</f>
        <v>8000</v>
      </c>
      <c r="K123" s="103">
        <f>11/11*(9760+500000)*0+12/12*934548.65</f>
        <v>934548.65</v>
      </c>
      <c r="L123" s="70"/>
      <c r="O123" s="20" t="s">
        <v>495</v>
      </c>
      <c r="P123" s="388"/>
      <c r="Q123" s="418">
        <f>9/9*500+300+12/12*(7200)</f>
        <v>8000</v>
      </c>
      <c r="R123" s="421"/>
      <c r="S123" s="421"/>
      <c r="T123" s="421"/>
      <c r="U123" s="416"/>
      <c r="V123" s="417"/>
      <c r="W123" s="431">
        <f>SUM(P123:V123)</f>
        <v>8000</v>
      </c>
      <c r="X123" s="105">
        <f>12/12*(3000000+5000000)</f>
        <v>8000000</v>
      </c>
      <c r="Y123" s="62">
        <f>X123/(W123*1000)</f>
        <v>1</v>
      </c>
      <c r="AA123" s="245">
        <f t="shared" si="114"/>
        <v>424788.65</v>
      </c>
      <c r="AB123" s="344">
        <f>11/11*(9760+500000)</f>
        <v>509760</v>
      </c>
      <c r="AC123" s="85"/>
      <c r="AD123" s="201"/>
      <c r="AE123" s="201"/>
      <c r="AF123" s="201"/>
      <c r="AG123" s="201"/>
      <c r="AH123" s="201"/>
      <c r="AI123" s="229"/>
      <c r="AJ123" s="229"/>
      <c r="AK123" s="255"/>
      <c r="AL123" s="255" t="s">
        <v>599</v>
      </c>
      <c r="AM123" s="255" t="s">
        <v>657</v>
      </c>
      <c r="AN123" s="73">
        <f>AA123-7/7*120092.5*0-11/11*(9760+500000)*0-12/12*(3708.65+10890+108900+286770+14520)</f>
        <v>0</v>
      </c>
      <c r="AO123" s="119"/>
      <c r="AP123" s="105"/>
      <c r="AQ123" s="118"/>
      <c r="AR123" s="371">
        <f>AO123-1.2/1.2*0</f>
        <v>0</v>
      </c>
      <c r="AU123" s="141">
        <f>K123</f>
        <v>934548.65</v>
      </c>
      <c r="AV123" s="142"/>
      <c r="AW123" s="143">
        <f>AU123+AV123</f>
        <v>934548.65</v>
      </c>
      <c r="AX123" s="120"/>
      <c r="AY123" s="51"/>
      <c r="AZ123" s="144">
        <f>X123</f>
        <v>8000000</v>
      </c>
      <c r="BA123" s="142"/>
      <c r="BB123" s="145">
        <f>AZ123+BA123</f>
        <v>8000000</v>
      </c>
      <c r="BC123" s="146">
        <f>BB123-AW123</f>
        <v>7065451.35</v>
      </c>
    </row>
    <row r="124" spans="1:55" ht="12.75">
      <c r="A124" s="36" t="s">
        <v>493</v>
      </c>
      <c r="B124" s="361"/>
      <c r="C124" s="388"/>
      <c r="D124" s="418">
        <f>9/9*600</f>
        <v>600</v>
      </c>
      <c r="E124" s="47"/>
      <c r="F124" s="47"/>
      <c r="G124" s="47"/>
      <c r="H124" s="416"/>
      <c r="I124" s="417"/>
      <c r="J124" s="388">
        <f t="shared" si="109"/>
        <v>600</v>
      </c>
      <c r="K124" s="103">
        <v>0</v>
      </c>
      <c r="L124" s="70"/>
      <c r="O124" s="20"/>
      <c r="P124" s="388"/>
      <c r="Q124" s="418">
        <f>9/9*600</f>
        <v>600</v>
      </c>
      <c r="R124" s="421"/>
      <c r="S124" s="421"/>
      <c r="T124" s="421"/>
      <c r="U124" s="416"/>
      <c r="V124" s="417"/>
      <c r="W124" s="431">
        <f t="shared" si="113"/>
        <v>600</v>
      </c>
      <c r="X124" s="105">
        <f>10/10*600000</f>
        <v>600000</v>
      </c>
      <c r="Y124" s="62">
        <f>X124/(W124*1000)</f>
        <v>1</v>
      </c>
      <c r="AA124" s="245">
        <f t="shared" si="114"/>
        <v>0</v>
      </c>
      <c r="AB124" s="103">
        <v>0</v>
      </c>
      <c r="AC124" s="85"/>
      <c r="AD124" s="201"/>
      <c r="AE124" s="201"/>
      <c r="AF124" s="201"/>
      <c r="AG124" s="201"/>
      <c r="AH124" s="201"/>
      <c r="AI124" s="229"/>
      <c r="AJ124" s="229"/>
      <c r="AK124" s="255"/>
      <c r="AL124" s="255"/>
      <c r="AM124" s="255"/>
      <c r="AN124" s="73">
        <f>AA124-7/7*120092.5*0</f>
        <v>0</v>
      </c>
      <c r="AO124" s="119"/>
      <c r="AP124" s="105">
        <f>10/10*600000</f>
        <v>600000</v>
      </c>
      <c r="AQ124" s="118"/>
      <c r="AR124" s="371">
        <f>AO124-1.2/1.2*0</f>
        <v>0</v>
      </c>
      <c r="AU124" s="141">
        <f>K124</f>
        <v>0</v>
      </c>
      <c r="AV124" s="142"/>
      <c r="AW124" s="143">
        <f>AU124+AV124</f>
        <v>0</v>
      </c>
      <c r="AX124" s="120"/>
      <c r="AY124" s="51"/>
      <c r="AZ124" s="144">
        <f>X124</f>
        <v>600000</v>
      </c>
      <c r="BA124" s="142"/>
      <c r="BB124" s="145">
        <f>AZ124+BA124</f>
        <v>600000</v>
      </c>
      <c r="BC124" s="146">
        <f>BB124-AW124</f>
        <v>600000</v>
      </c>
    </row>
    <row r="125" spans="1:55" ht="12.75">
      <c r="A125" s="36" t="s">
        <v>583</v>
      </c>
      <c r="B125" s="361"/>
      <c r="C125" s="388"/>
      <c r="D125" s="418">
        <f>11/11*45249.8*0</f>
        <v>0</v>
      </c>
      <c r="E125" s="47"/>
      <c r="F125" s="47"/>
      <c r="G125" s="47"/>
      <c r="H125" s="416"/>
      <c r="I125" s="417"/>
      <c r="J125" s="388">
        <f t="shared" si="109"/>
        <v>0</v>
      </c>
      <c r="K125" s="103"/>
      <c r="L125" s="70"/>
      <c r="O125" s="20" t="s">
        <v>584</v>
      </c>
      <c r="P125" s="388"/>
      <c r="Q125" s="418">
        <f>11/11*45249.8*0</f>
        <v>0</v>
      </c>
      <c r="R125" s="421"/>
      <c r="S125" s="421"/>
      <c r="T125" s="421"/>
      <c r="U125" s="416"/>
      <c r="V125" s="417"/>
      <c r="W125" s="431">
        <f t="shared" si="113"/>
        <v>0</v>
      </c>
      <c r="X125" s="105"/>
      <c r="Y125" s="70"/>
      <c r="AA125" s="245"/>
      <c r="AB125" s="103"/>
      <c r="AC125" s="85"/>
      <c r="AD125" s="201"/>
      <c r="AE125" s="201"/>
      <c r="AF125" s="201"/>
      <c r="AG125" s="201"/>
      <c r="AH125" s="201"/>
      <c r="AI125" s="229"/>
      <c r="AJ125" s="229"/>
      <c r="AK125" s="255"/>
      <c r="AL125" s="255"/>
      <c r="AM125" s="255"/>
      <c r="AN125" s="73"/>
      <c r="AO125" s="119"/>
      <c r="AP125" s="105"/>
      <c r="AQ125" s="118"/>
      <c r="AR125" s="371">
        <f>AO125-1.2/1.2*0</f>
        <v>0</v>
      </c>
      <c r="AU125" s="333"/>
      <c r="AV125" s="334"/>
      <c r="AW125" s="335"/>
      <c r="AX125" s="119"/>
      <c r="AY125" s="336"/>
      <c r="AZ125" s="144">
        <f>X125</f>
        <v>0</v>
      </c>
      <c r="BA125" s="142"/>
      <c r="BB125" s="145">
        <f>AZ125+BA125</f>
        <v>0</v>
      </c>
      <c r="BC125" s="146">
        <f>BB125-AW125</f>
        <v>0</v>
      </c>
    </row>
    <row r="126" spans="1:55" ht="15" customHeight="1">
      <c r="A126" s="50" t="s">
        <v>66</v>
      </c>
      <c r="B126" s="366"/>
      <c r="C126" s="388"/>
      <c r="D126" s="420"/>
      <c r="E126" s="421"/>
      <c r="F126" s="421"/>
      <c r="G126" s="421"/>
      <c r="H126" s="416"/>
      <c r="I126" s="417"/>
      <c r="J126" s="422"/>
      <c r="K126" s="104"/>
      <c r="L126" s="71"/>
      <c r="O126" s="20"/>
      <c r="P126" s="388"/>
      <c r="Q126" s="418"/>
      <c r="R126" s="47"/>
      <c r="S126" s="47"/>
      <c r="T126" s="47"/>
      <c r="U126" s="416"/>
      <c r="V126" s="417"/>
      <c r="W126" s="431"/>
      <c r="X126" s="106"/>
      <c r="Y126" s="71"/>
      <c r="AA126" s="245">
        <f t="shared" si="114"/>
        <v>0</v>
      </c>
      <c r="AB126" s="104"/>
      <c r="AC126" s="85"/>
      <c r="AD126" s="201"/>
      <c r="AE126" s="201"/>
      <c r="AF126" s="201"/>
      <c r="AG126" s="201">
        <f>33437+8359+3013+(140+759)</f>
        <v>45708</v>
      </c>
      <c r="AH126" s="201"/>
      <c r="AI126" s="229"/>
      <c r="AJ126" s="229"/>
      <c r="AK126" s="255"/>
      <c r="AL126" s="255"/>
      <c r="AM126" s="255"/>
      <c r="AN126" s="73">
        <f>AA126-0</f>
        <v>0</v>
      </c>
      <c r="AO126" s="119">
        <f t="shared" si="100"/>
        <v>0</v>
      </c>
      <c r="AP126" s="106"/>
      <c r="AQ126" s="118"/>
      <c r="AR126" s="119">
        <f t="shared" si="108"/>
        <v>0</v>
      </c>
      <c r="AU126" s="153"/>
      <c r="AV126" s="154"/>
      <c r="AW126" s="155"/>
      <c r="AX126" s="156"/>
      <c r="AY126" s="156"/>
      <c r="AZ126" s="157"/>
      <c r="BA126" s="154"/>
      <c r="BB126" s="154"/>
      <c r="BC126" s="170"/>
    </row>
    <row r="127" spans="1:55" ht="15" customHeight="1">
      <c r="A127" s="36" t="s">
        <v>514</v>
      </c>
      <c r="B127" s="361"/>
      <c r="C127" s="388"/>
      <c r="D127" s="418">
        <f>2/2*912+5/5*144+8/8*40+11/11*-4</f>
        <v>1092</v>
      </c>
      <c r="E127" s="47"/>
      <c r="F127" s="47"/>
      <c r="G127" s="47"/>
      <c r="H127" s="416"/>
      <c r="I127" s="417"/>
      <c r="J127" s="388">
        <f aca="true" t="shared" si="115" ref="J127:J144">SUM(C127:I127)</f>
        <v>1092</v>
      </c>
      <c r="K127" s="344">
        <f>1.2/1.2*67473*0+3/3*(71920+3/3*(43508+10877+3919))*0+4/4*227440*0+5/5*(282482-759)*0+6/6*330631*0+7/7*343231*0+8/8*(556133.06*0+9/9*627231.06*0+10/10*740703.06*0+11/11*(822774.06*0+840464.06)*0+12/12*1032917.24+708/708*(2500*0+9/9*8690*0+10/10*13690)*(0+12/12)+905/905*(9/9*929.5+10/10*5490)*0+11/11*8620.5*0+12/12*(929.5+5490+1093.8+1561))+50/50*(64754+16188+5832+273+320-1660)*0+(1096000-1092000)*0</f>
        <v>1055681.54</v>
      </c>
      <c r="L127" s="62">
        <f>K127/(J127*1000)</f>
        <v>0.966741336996337</v>
      </c>
      <c r="M127" s="197">
        <f>10/10*760812.56*0+11/11*849084.56*0+12/12*(1046607.24*0+1059681.54)-K127</f>
        <v>4000</v>
      </c>
      <c r="O127" s="20" t="s">
        <v>74</v>
      </c>
      <c r="P127" s="388"/>
      <c r="Q127" s="418">
        <f>2/2*912+5/5*144+8/8*40+11/11*-4</f>
        <v>1092</v>
      </c>
      <c r="R127" s="421"/>
      <c r="S127" s="421"/>
      <c r="T127" s="421"/>
      <c r="U127" s="416"/>
      <c r="V127" s="417"/>
      <c r="W127" s="431">
        <f aca="true" t="shared" si="116" ref="W127:W144">SUM(P127:V127)</f>
        <v>1092</v>
      </c>
      <c r="X127" s="105">
        <f>2/2*912000+5/5*144000+8/8*40000</f>
        <v>1096000</v>
      </c>
      <c r="Y127" s="62">
        <f>X127/(W127*1000)</f>
        <v>1.0036630036630036</v>
      </c>
      <c r="AA127" s="245">
        <f>K127-AB127</f>
        <v>206596.97999999998</v>
      </c>
      <c r="AB127" s="103">
        <f>1.2/1.2*67473*0+3/3*(71920+3/3*(43508+10877+3919))*0+4/4*227440*0+5/5*(282482-759)*0+6/6*330631*0+7/7*343231*0+8/8*(556133.06*0+9/9*627231.06*0+10/10*740703.06*0+11/11*(822774.06*0+840464.06)+708/708*(2500*0+9/9*8690*0+10/10*13690)*0+905/905*(9/9*929.5+10/10*5490)*0+11/11*8620.5)+50/50*(64754+16188+5832+273+320-1660)*0</f>
        <v>849084.56</v>
      </c>
      <c r="AC127" s="85" t="s">
        <v>138</v>
      </c>
      <c r="AD127" s="201" t="s">
        <v>231</v>
      </c>
      <c r="AE127" s="201" t="s">
        <v>278</v>
      </c>
      <c r="AF127" s="201" t="s">
        <v>335</v>
      </c>
      <c r="AG127" s="201" t="s">
        <v>354</v>
      </c>
      <c r="AH127" s="201" t="s">
        <v>432</v>
      </c>
      <c r="AI127" s="229" t="s">
        <v>454</v>
      </c>
      <c r="AJ127" s="229" t="s">
        <v>519</v>
      </c>
      <c r="AK127" s="255" t="s">
        <v>557</v>
      </c>
      <c r="AL127" s="255" t="s">
        <v>619</v>
      </c>
      <c r="AM127" s="255"/>
      <c r="AN127" s="73">
        <f>AA127-1.2/1.2*(56500+4950+6023)*0-3/3*((43508+10877+3919)+(4050+397))*0-4/4*97216*0-5/5*54283*0-6/6*(45708+2200+2000-1000)*0-7/7*(12600+(87047+320-1660))*0-8/8*((64754+16188+5832+273)*0+(85613+21404+7710+362-115089*0)+(3000+3700+2500)+3026.06+2380)*0-9/9*((51253+12813+4616+216)+(3200+2990+2200)+929.5)*0-10/10*((76378+19095+6877+321)+151+10650+5000)*0-11/11*82071*0</f>
        <v>206596.97999999998</v>
      </c>
      <c r="AO127" s="119">
        <f t="shared" si="100"/>
        <v>0</v>
      </c>
      <c r="AP127" s="105">
        <f>2/2*912000+5/5*144000+8/8*40000</f>
        <v>1096000</v>
      </c>
      <c r="AQ127" s="118" t="s">
        <v>164</v>
      </c>
      <c r="AR127" s="119">
        <f>AO127-1.2/1.2*912000*0-5/5*144000*0</f>
        <v>0</v>
      </c>
      <c r="AU127" s="141">
        <f aca="true" t="shared" si="117" ref="AU127:AU136">K127</f>
        <v>1055681.54</v>
      </c>
      <c r="AV127" s="142"/>
      <c r="AW127" s="143">
        <f aca="true" t="shared" si="118" ref="AW127:AW136">AU127+AV127</f>
        <v>1055681.54</v>
      </c>
      <c r="AX127" s="120"/>
      <c r="AY127" s="51"/>
      <c r="AZ127" s="144">
        <f aca="true" t="shared" si="119" ref="AZ127:AZ136">X127</f>
        <v>1096000</v>
      </c>
      <c r="BA127" s="142"/>
      <c r="BB127" s="145">
        <f aca="true" t="shared" si="120" ref="BB127:BB136">AZ127+BA127</f>
        <v>1096000</v>
      </c>
      <c r="BC127" s="146">
        <f aca="true" t="shared" si="121" ref="BC127:BC136">BB127-AW127</f>
        <v>40318.45999999996</v>
      </c>
    </row>
    <row r="128" spans="1:55" ht="15" customHeight="1" hidden="1">
      <c r="A128" s="36" t="s">
        <v>70</v>
      </c>
      <c r="B128" s="361"/>
      <c r="C128" s="388"/>
      <c r="D128" s="418"/>
      <c r="E128" s="47"/>
      <c r="F128" s="47"/>
      <c r="G128" s="47"/>
      <c r="H128" s="416"/>
      <c r="I128" s="417"/>
      <c r="J128" s="388">
        <f t="shared" si="115"/>
        <v>0</v>
      </c>
      <c r="K128" s="105"/>
      <c r="L128" s="62" t="e">
        <f>K128/(J128*1000)</f>
        <v>#DIV/0!</v>
      </c>
      <c r="O128" s="20" t="s">
        <v>74</v>
      </c>
      <c r="P128" s="388"/>
      <c r="Q128" s="418"/>
      <c r="R128" s="421"/>
      <c r="S128" s="421"/>
      <c r="T128" s="421"/>
      <c r="U128" s="416"/>
      <c r="V128" s="417"/>
      <c r="W128" s="431">
        <f t="shared" si="116"/>
        <v>0</v>
      </c>
      <c r="X128" s="105"/>
      <c r="Y128" s="62" t="e">
        <f>X128/(W128*1000)</f>
        <v>#DIV/0!</v>
      </c>
      <c r="AA128" s="245">
        <f>K128-AB128</f>
        <v>0</v>
      </c>
      <c r="AB128" s="105"/>
      <c r="AC128" s="85"/>
      <c r="AD128" s="201"/>
      <c r="AE128" s="201"/>
      <c r="AF128" s="201"/>
      <c r="AG128" s="201"/>
      <c r="AH128" s="201"/>
      <c r="AI128" s="229"/>
      <c r="AJ128" s="229"/>
      <c r="AK128" s="255"/>
      <c r="AL128" s="255"/>
      <c r="AM128" s="255"/>
      <c r="AN128" s="73">
        <f>AA128-0</f>
        <v>0</v>
      </c>
      <c r="AO128" s="119">
        <f t="shared" si="100"/>
        <v>0</v>
      </c>
      <c r="AP128" s="105"/>
      <c r="AQ128" s="118"/>
      <c r="AR128" s="119">
        <f t="shared" si="108"/>
        <v>0</v>
      </c>
      <c r="AU128" s="141">
        <f t="shared" si="117"/>
        <v>0</v>
      </c>
      <c r="AV128" s="142"/>
      <c r="AW128" s="143">
        <f t="shared" si="118"/>
        <v>0</v>
      </c>
      <c r="AX128" s="120"/>
      <c r="AY128" s="51"/>
      <c r="AZ128" s="144">
        <f t="shared" si="119"/>
        <v>0</v>
      </c>
      <c r="BA128" s="142"/>
      <c r="BB128" s="145">
        <f t="shared" si="120"/>
        <v>0</v>
      </c>
      <c r="BC128" s="146">
        <f t="shared" si="121"/>
        <v>0</v>
      </c>
    </row>
    <row r="129" spans="1:55" ht="15" customHeight="1" hidden="1">
      <c r="A129" s="36" t="s">
        <v>111</v>
      </c>
      <c r="B129" s="361"/>
      <c r="C129" s="388"/>
      <c r="D129" s="420"/>
      <c r="E129" s="421"/>
      <c r="F129" s="421"/>
      <c r="G129" s="421"/>
      <c r="H129" s="416"/>
      <c r="I129" s="417"/>
      <c r="J129" s="388">
        <f t="shared" si="115"/>
        <v>0</v>
      </c>
      <c r="K129" s="106"/>
      <c r="L129" s="62" t="e">
        <f>K129/(J129*1000)</f>
        <v>#DIV/0!</v>
      </c>
      <c r="O129" s="20" t="s">
        <v>82</v>
      </c>
      <c r="P129" s="388"/>
      <c r="Q129" s="418"/>
      <c r="R129" s="421"/>
      <c r="S129" s="421"/>
      <c r="T129" s="421"/>
      <c r="U129" s="416"/>
      <c r="V129" s="417"/>
      <c r="W129" s="431">
        <f t="shared" si="116"/>
        <v>0</v>
      </c>
      <c r="X129" s="106"/>
      <c r="Y129" s="62" t="e">
        <f>X129/(W129*1000)</f>
        <v>#DIV/0!</v>
      </c>
      <c r="AA129" s="245">
        <f>K129-AB129</f>
        <v>0</v>
      </c>
      <c r="AB129" s="106"/>
      <c r="AC129" s="85"/>
      <c r="AD129" s="201"/>
      <c r="AE129" s="201"/>
      <c r="AF129" s="201"/>
      <c r="AG129" s="201"/>
      <c r="AH129" s="201"/>
      <c r="AI129" s="229"/>
      <c r="AJ129" s="229"/>
      <c r="AK129" s="255"/>
      <c r="AL129" s="255"/>
      <c r="AM129" s="255"/>
      <c r="AN129" s="73">
        <f>AA129-0</f>
        <v>0</v>
      </c>
      <c r="AO129" s="119">
        <f t="shared" si="100"/>
        <v>0</v>
      </c>
      <c r="AP129" s="106"/>
      <c r="AQ129" s="118"/>
      <c r="AR129" s="119">
        <f t="shared" si="108"/>
        <v>0</v>
      </c>
      <c r="AU129" s="141">
        <f t="shared" si="117"/>
        <v>0</v>
      </c>
      <c r="AV129" s="142"/>
      <c r="AW129" s="143">
        <f t="shared" si="118"/>
        <v>0</v>
      </c>
      <c r="AX129" s="120"/>
      <c r="AY129" s="51"/>
      <c r="AZ129" s="144">
        <f t="shared" si="119"/>
        <v>0</v>
      </c>
      <c r="BA129" s="142"/>
      <c r="BB129" s="145">
        <f t="shared" si="120"/>
        <v>0</v>
      </c>
      <c r="BC129" s="146">
        <f t="shared" si="121"/>
        <v>0</v>
      </c>
    </row>
    <row r="130" spans="1:55" ht="15" customHeight="1">
      <c r="A130" s="36" t="s">
        <v>515</v>
      </c>
      <c r="B130" s="361"/>
      <c r="C130" s="388"/>
      <c r="D130" s="420">
        <f>3/3*1113</f>
        <v>1113</v>
      </c>
      <c r="E130" s="421"/>
      <c r="F130" s="421"/>
      <c r="G130" s="421"/>
      <c r="H130" s="416"/>
      <c r="I130" s="417"/>
      <c r="J130" s="388">
        <f t="shared" si="115"/>
        <v>1113</v>
      </c>
      <c r="K130" s="504">
        <f>3/3*(107421+26855+9668)*0+4/4*240467*0+5/5*289714*0+6/6*391094*0+7/7*(457636*0+2/2*7000+8/8*564724.4*0+9/9*679819.4*0+11/11*757801.4*0)*0+12/12*((3/3*964689.1+4/4*110641)+1/1*(8122.63+2112+2321.1)+2/2*(9477.52+3344.65+12292))</f>
        <v>1113000</v>
      </c>
      <c r="L130" s="62">
        <f>K130/(J130*1000)</f>
        <v>1</v>
      </c>
      <c r="M130" s="494">
        <f>1113000-K130</f>
        <v>0</v>
      </c>
      <c r="O130" s="20" t="s">
        <v>85</v>
      </c>
      <c r="P130" s="388"/>
      <c r="Q130" s="420">
        <f>3/3*1113</f>
        <v>1113</v>
      </c>
      <c r="R130" s="421"/>
      <c r="S130" s="421"/>
      <c r="T130" s="421"/>
      <c r="U130" s="416"/>
      <c r="V130" s="417"/>
      <c r="W130" s="431">
        <f t="shared" si="116"/>
        <v>1113</v>
      </c>
      <c r="X130" s="106">
        <f>6/6*1113000</f>
        <v>1113000</v>
      </c>
      <c r="Y130" s="62">
        <f>X130/(W130*1000)</f>
        <v>1</v>
      </c>
      <c r="AA130" s="245">
        <f>K130-AB130</f>
        <v>348198.6</v>
      </c>
      <c r="AB130" s="106">
        <f>3/3*(107421+26855+9668)*0+4/4*240467*0+5/5*289714*0+6/6*391094*0+7/7*(457636*0+2/2*7000+8/8*564724.4*0+9/9*679819.4*0+11/11*757801.4)</f>
        <v>764801.4</v>
      </c>
      <c r="AC130" s="85"/>
      <c r="AD130" s="201" t="s">
        <v>203</v>
      </c>
      <c r="AE130" s="201" t="s">
        <v>267</v>
      </c>
      <c r="AF130" s="201" t="s">
        <v>318</v>
      </c>
      <c r="AG130" s="201" t="s">
        <v>348</v>
      </c>
      <c r="AH130" s="201" t="s">
        <v>404</v>
      </c>
      <c r="AI130" s="229" t="s">
        <v>455</v>
      </c>
      <c r="AJ130" s="229"/>
      <c r="AK130" s="255" t="s">
        <v>556</v>
      </c>
      <c r="AL130" s="255" t="s">
        <v>620</v>
      </c>
      <c r="AM130" s="255"/>
      <c r="AN130" s="73">
        <f>AA130-0-3/3*(107421+26855+9668)*0-4/4*96523*0-5/5*49247*0-6/6*101380*0-7/7*(66542+7000)*0-8/8*107088.4*0-10/10*(85755+21439+7718+183)*0-11/11*77982*0</f>
        <v>348198.6</v>
      </c>
      <c r="AO130" s="119">
        <f t="shared" si="100"/>
        <v>0</v>
      </c>
      <c r="AP130" s="106">
        <f>6/6*1113000</f>
        <v>1113000</v>
      </c>
      <c r="AQ130" s="118" t="s">
        <v>164</v>
      </c>
      <c r="AR130" s="119">
        <f>AO130-1.2/1.2*0-6/6*1113000*0</f>
        <v>0</v>
      </c>
      <c r="AU130" s="141">
        <f t="shared" si="117"/>
        <v>1113000</v>
      </c>
      <c r="AV130" s="142"/>
      <c r="AW130" s="143">
        <f t="shared" si="118"/>
        <v>1113000</v>
      </c>
      <c r="AX130" s="120"/>
      <c r="AY130" s="51"/>
      <c r="AZ130" s="144">
        <f t="shared" si="119"/>
        <v>1113000</v>
      </c>
      <c r="BA130" s="142"/>
      <c r="BB130" s="145">
        <f t="shared" si="120"/>
        <v>1113000</v>
      </c>
      <c r="BC130" s="146">
        <f t="shared" si="121"/>
        <v>0</v>
      </c>
    </row>
    <row r="131" spans="1:55" ht="14.25" hidden="1">
      <c r="A131" s="36" t="s">
        <v>88</v>
      </c>
      <c r="B131" s="361"/>
      <c r="C131" s="388"/>
      <c r="D131" s="420"/>
      <c r="E131" s="421"/>
      <c r="F131" s="421"/>
      <c r="G131" s="421"/>
      <c r="H131" s="416"/>
      <c r="I131" s="417"/>
      <c r="J131" s="388">
        <f t="shared" si="115"/>
        <v>0</v>
      </c>
      <c r="K131" s="106"/>
      <c r="L131" s="61"/>
      <c r="O131" s="20" t="s">
        <v>82</v>
      </c>
      <c r="P131" s="388"/>
      <c r="Q131" s="418"/>
      <c r="R131" s="421"/>
      <c r="S131" s="421"/>
      <c r="T131" s="421"/>
      <c r="U131" s="416"/>
      <c r="V131" s="417"/>
      <c r="W131" s="431">
        <f t="shared" si="116"/>
        <v>0</v>
      </c>
      <c r="X131" s="106"/>
      <c r="Y131" s="61"/>
      <c r="AA131" s="247"/>
      <c r="AB131" s="106"/>
      <c r="AC131" s="85"/>
      <c r="AD131" s="201"/>
      <c r="AE131" s="201"/>
      <c r="AF131" s="201"/>
      <c r="AG131" s="201"/>
      <c r="AH131" s="201"/>
      <c r="AI131" s="229"/>
      <c r="AJ131" s="229"/>
      <c r="AK131" s="255"/>
      <c r="AL131" s="255"/>
      <c r="AM131" s="255"/>
      <c r="AN131" s="284"/>
      <c r="AO131" s="119">
        <f t="shared" si="100"/>
        <v>0</v>
      </c>
      <c r="AP131" s="106"/>
      <c r="AQ131" s="118"/>
      <c r="AR131" s="119">
        <f t="shared" si="108"/>
        <v>0</v>
      </c>
      <c r="AU131" s="141">
        <f t="shared" si="117"/>
        <v>0</v>
      </c>
      <c r="AV131" s="142"/>
      <c r="AW131" s="143">
        <f t="shared" si="118"/>
        <v>0</v>
      </c>
      <c r="AX131" s="120"/>
      <c r="AY131" s="51"/>
      <c r="AZ131" s="144">
        <f t="shared" si="119"/>
        <v>0</v>
      </c>
      <c r="BA131" s="142"/>
      <c r="BB131" s="145">
        <f t="shared" si="120"/>
        <v>0</v>
      </c>
      <c r="BC131" s="146">
        <f t="shared" si="121"/>
        <v>0</v>
      </c>
    </row>
    <row r="132" spans="1:55" ht="24.75" customHeight="1">
      <c r="A132" s="36" t="s">
        <v>484</v>
      </c>
      <c r="B132" s="361"/>
      <c r="C132" s="388"/>
      <c r="D132" s="420">
        <f>4/4*1537.3+8/8*636.7-D133</f>
        <v>2097</v>
      </c>
      <c r="E132" s="421"/>
      <c r="F132" s="421"/>
      <c r="G132" s="421"/>
      <c r="H132" s="416"/>
      <c r="I132" s="417"/>
      <c r="J132" s="388">
        <f t="shared" si="115"/>
        <v>2097</v>
      </c>
      <c r="K132" s="93">
        <f>2/2*((505/505)*13450*0*3/3+905/905*((232.57*0+3/3*341.08*0+4/4*455.98*0+5/5*543.22*0+6/6*639.06*0+7/7*730.77*0+9/9*956.81+(36/36*9/9*4321.5+2890*0+3/3*11080*0+4/4*13480*0+9/9*15210)+4/4*14053+1200)+8/8*14014.42*0+9/9*(37/37*8418.4+39/39*5300+69/69*85)))*0+(901/901*(6000*0+12/12*12249.62))+903/903*(((5/5*464851-362032*0+5/5*116082-90375*0+5/5*41799-32543*0+5/5*1936-1503*0)+6/6*(111176+10007+27790+466)+7/7*(163503+14718+686+40874)+8/8*(78876+18768+6754+316)+9/9*(106363+26043+9380+431)+10/10*((151213+37797+13615+626)))*0+902/902*(67593.01+128.31+3300)*0+910/910*3970)+(11/11*(110736+26570+9571+455)*0+12/12*(1459387+362796+130648+6048))+(1362+148.68)*0+904/904*(4521.1+15000+732/732*(1500+0+14000))+905/905*(4321.5+74835.63+8477.4+1673.75+23310+85+14053+1200)</f>
        <v>2138076</v>
      </c>
      <c r="L132" s="62">
        <f aca="true" t="shared" si="122" ref="L132:L143">K132/(J132*1000)</f>
        <v>1.019587982832618</v>
      </c>
      <c r="O132" s="20" t="s">
        <v>91</v>
      </c>
      <c r="P132" s="388"/>
      <c r="Q132" s="420">
        <f>4/4*1537.3+8/8*636.7</f>
        <v>2174</v>
      </c>
      <c r="R132" s="421"/>
      <c r="S132" s="421"/>
      <c r="T132" s="421"/>
      <c r="U132" s="416"/>
      <c r="V132" s="417"/>
      <c r="W132" s="431">
        <f t="shared" si="116"/>
        <v>2174</v>
      </c>
      <c r="X132" s="114">
        <f>4/4*1537280+8/8*636720</f>
        <v>2174000</v>
      </c>
      <c r="Y132" s="62">
        <f>X132/(W132*1000)</f>
        <v>1</v>
      </c>
      <c r="AA132" s="245">
        <f>K132-AB132</f>
        <v>414627.29000000004</v>
      </c>
      <c r="AB132" s="93">
        <f>2/2*((505/505)*13450*0*3/3+905/905*((232.57*0+3/3*341.08*0+4/4*455.98*0+5/5*543.22*0+6/6*639.06*0+7/7*730.77*0+9/9*956.81+(36/36*9/9*4321.5+2890*0+3/3*11080*0+4/4*13480*0+9/9*15210)+4/4*14053+1200)+8/8*14014.42*0+9/9*(37/37*8418.4+39/39*5300+69/69*85)))+(901/901*6000)+903/903*(5/5*464851-362032*0+5/5*116082-90375*0+5/5*41799-32543*0+5/5*1936-1503*0)+6/6*(111176+10007+27790+466)+7/7*(163503+14718+686+40874)+8/8*(78876+18768+6754+316)+9/9*(106363+26043+9380+431)+10/10*((151213+37797+13615+626)+902/902*(67593.01+128.31+3300)+910/910*3970)+11/11*(110736+26570+9571+455)+(1362+148.68)</f>
        <v>1723448.71</v>
      </c>
      <c r="AC132" s="223" t="s">
        <v>137</v>
      </c>
      <c r="AD132" s="201">
        <f>(151853-64121-3/3*87732)+(6219-2516-3703)+(1002-501-501)+(360-180-180)+(7.5-7.5)</f>
        <v>0</v>
      </c>
      <c r="AE132" s="201" t="s">
        <v>287</v>
      </c>
      <c r="AF132" s="201" t="s">
        <v>319</v>
      </c>
      <c r="AG132" s="201" t="s">
        <v>363</v>
      </c>
      <c r="AH132" s="201"/>
      <c r="AI132" s="229" t="s">
        <v>473</v>
      </c>
      <c r="AJ132" s="229" t="s">
        <v>513</v>
      </c>
      <c r="AK132" s="255" t="s">
        <v>574</v>
      </c>
      <c r="AL132" s="255" t="s">
        <v>622</v>
      </c>
      <c r="AM132" s="255"/>
      <c r="AN132" s="73">
        <f>AA132-1/1*((2*600+1000+2*1580+2480+2000*2)-2/2*(156+600+241+310+194+109))*0-3/3*(1.2/1.2*13450+3951.5)*0-4/4*(486453+(114.9+6000+14053)+2400)*0-5/5*138302.24*0-6/6*149534.84*0-8/8*(3/3*104714+5/5*14014.42)*0-9/9*(135.02+(106363+26043+9380+431)+120+1490+(929.5+3392))*0-11/11*((110736+26570+9571+455)+(1362+148.68))*0</f>
        <v>414627.29000000004</v>
      </c>
      <c r="AO132" s="119">
        <f t="shared" si="100"/>
        <v>0</v>
      </c>
      <c r="AP132" s="114">
        <f>4/4*1537280+8/8*636720</f>
        <v>2174000</v>
      </c>
      <c r="AQ132" s="118"/>
      <c r="AR132" s="119">
        <f>AO132-1.2/1.2*0-4/4*1537280*0</f>
        <v>0</v>
      </c>
      <c r="AU132" s="141">
        <f t="shared" si="117"/>
        <v>2138076</v>
      </c>
      <c r="AV132" s="142"/>
      <c r="AW132" s="143">
        <f t="shared" si="118"/>
        <v>2138076</v>
      </c>
      <c r="AX132" s="120"/>
      <c r="AY132" s="51"/>
      <c r="AZ132" s="144">
        <f t="shared" si="119"/>
        <v>2174000</v>
      </c>
      <c r="BA132" s="142"/>
      <c r="BB132" s="145">
        <f t="shared" si="120"/>
        <v>2174000</v>
      </c>
      <c r="BC132" s="146">
        <f t="shared" si="121"/>
        <v>35924</v>
      </c>
    </row>
    <row r="133" spans="1:55" ht="15" customHeight="1">
      <c r="A133" s="36" t="s">
        <v>485</v>
      </c>
      <c r="B133" s="361"/>
      <c r="C133" s="388"/>
      <c r="D133" s="420">
        <f>8/8*(48+25+4)</f>
        <v>77</v>
      </c>
      <c r="E133" s="421"/>
      <c r="F133" s="423"/>
      <c r="G133" s="421"/>
      <c r="H133" s="416"/>
      <c r="I133" s="417"/>
      <c r="J133" s="388">
        <f>SUM(C133:I133)</f>
        <v>77</v>
      </c>
      <c r="K133" s="93">
        <f>3/3*29854*0+4/4*35029*0+5/5*(36627*0+6/6*48613*0+7/7*51213*0+8/8*51561*0+9/9*((4004+10/10*124)+(53848-10/10*3790))*0+11/11*(4321+51214)+708/708*12540*0+6/6*(23830-10/10*3790*0))-79365+12/12*505/505*((4730+16114)+708/708*15080)</f>
        <v>35924</v>
      </c>
      <c r="L133" s="62">
        <f t="shared" si="122"/>
        <v>0.46654545454545454</v>
      </c>
      <c r="M133" s="233">
        <f>13011/13011*42475.08*0+4/4*556670.98*0+5/5*709111.22*0+6/6*881922.06*0+7/7*1104394.77*0+8/8*1223471.19*0+9/9*1378045.71*0+10/10*1652622.03*0+11/11*1802813.71*0+12/12*2174000-K132-K133</f>
        <v>0</v>
      </c>
      <c r="N133" s="13"/>
      <c r="O133" s="20" t="s">
        <v>205</v>
      </c>
      <c r="P133" s="388"/>
      <c r="Q133" s="420"/>
      <c r="R133" s="421"/>
      <c r="S133" s="421"/>
      <c r="T133" s="421"/>
      <c r="U133" s="416"/>
      <c r="V133" s="417"/>
      <c r="W133" s="431">
        <f>SUM(P133:V133)</f>
        <v>0</v>
      </c>
      <c r="X133" s="114"/>
      <c r="Y133" s="71"/>
      <c r="AA133" s="245">
        <f>K133-AB133</f>
        <v>-43441</v>
      </c>
      <c r="AB133" s="93">
        <f>3/3*29854*0+4/4*35029*0+5/5*(36627*0+6/6*48613*0+7/7*51213*0+8/8*51561*0+9/9*((4004+10/10*124)+(53848-10/10*3790))*0+11/11*(4321+51214)+708/708*12540*0+6/6*(23830-10/10*3790*0))</f>
        <v>79365</v>
      </c>
      <c r="AC133" s="85" t="s">
        <v>137</v>
      </c>
      <c r="AD133" s="201" t="s">
        <v>206</v>
      </c>
      <c r="AE133" s="201" t="s">
        <v>263</v>
      </c>
      <c r="AF133" s="201" t="s">
        <v>302</v>
      </c>
      <c r="AG133" s="201" t="s">
        <v>353</v>
      </c>
      <c r="AH133" s="201" t="s">
        <v>408</v>
      </c>
      <c r="AI133" s="229" t="s">
        <v>456</v>
      </c>
      <c r="AJ133" s="229" t="s">
        <v>512</v>
      </c>
      <c r="AK133" s="255" t="s">
        <v>558</v>
      </c>
      <c r="AL133" s="255" t="s">
        <v>617</v>
      </c>
      <c r="AM133" s="255"/>
      <c r="AN133" s="73">
        <f>AA133-2/2*((854+12596)-3/3*(800+1600+1200+272+332+12200))*0-4/4*(4500+300+2400*0+375)*0-5/5*(529+1069+12540)*0-6/6*(3000-1000*0*4339/4339+(5290+3000)+11800+98+88)*0-7/7*2600*0-8/8*348*0-9/9*((100+359)+2500+3000+332)*0-10/10*(124-3790)*0-11/11*1349*0</f>
        <v>-43441</v>
      </c>
      <c r="AO133" s="119">
        <f>X133-AP133</f>
        <v>0</v>
      </c>
      <c r="AP133" s="114"/>
      <c r="AQ133" s="118"/>
      <c r="AR133" s="119">
        <f>AO133-1.2/1.2*0</f>
        <v>0</v>
      </c>
      <c r="AU133" s="141">
        <f>K133</f>
        <v>35924</v>
      </c>
      <c r="AV133" s="142"/>
      <c r="AW133" s="143">
        <f>AU133+AV133</f>
        <v>35924</v>
      </c>
      <c r="AX133" s="120"/>
      <c r="AY133" s="51"/>
      <c r="AZ133" s="144">
        <f>X133</f>
        <v>0</v>
      </c>
      <c r="BA133" s="142"/>
      <c r="BB133" s="145">
        <f>AZ133+BA133</f>
        <v>0</v>
      </c>
      <c r="BC133" s="146">
        <f>BB133-AW133</f>
        <v>-35924</v>
      </c>
    </row>
    <row r="134" spans="1:55" ht="12" customHeight="1">
      <c r="A134" s="36" t="s">
        <v>615</v>
      </c>
      <c r="B134" s="361"/>
      <c r="C134" s="388"/>
      <c r="D134" s="420">
        <f>7/7*467.469+0.031</f>
        <v>467.5</v>
      </c>
      <c r="E134" s="421"/>
      <c r="F134" s="421"/>
      <c r="G134" s="421"/>
      <c r="H134" s="416"/>
      <c r="I134" s="417"/>
      <c r="J134" s="388">
        <f t="shared" si="115"/>
        <v>467.5</v>
      </c>
      <c r="K134" s="343">
        <f>905/905*(3/3*2655*0+(7/7*5392+8/8*360)*0+9/9*6952*0+12/12*(664.08+453.8+196.01+4215+2737))+7/7*(903/903*214017+8/8*(23982+5996+2159+102))*0+9/9*((207566+51896+18685+874)+10/10*(36034+9009+3243+152))*0+11/11*(267019+66759+24036+1124)*0+12/12*(328920+82235+29607+1385)+10/10*905/905*860*0*12/12+901/901*(8/8*3319.25*0+12/12*5535.76)+904/904*12/12*(5000+2874.35+3646)</f>
        <v>467469</v>
      </c>
      <c r="L134" s="62">
        <f t="shared" si="122"/>
        <v>0.9999336898395722</v>
      </c>
      <c r="M134" s="233">
        <f>13015/13015*8/8*255327.25*0+9/9*289292.25*0+10/10*338590.25*0+11/11*370069.25*0+12/12*467469-K134</f>
        <v>0</v>
      </c>
      <c r="N134" s="13"/>
      <c r="O134" s="41" t="s">
        <v>91</v>
      </c>
      <c r="P134" s="388"/>
      <c r="Q134" s="420">
        <f>7/7*467.469+0.031</f>
        <v>467.5</v>
      </c>
      <c r="R134" s="421"/>
      <c r="S134" s="421"/>
      <c r="T134" s="421"/>
      <c r="U134" s="416"/>
      <c r="V134" s="417"/>
      <c r="W134" s="431">
        <f t="shared" si="116"/>
        <v>467.5</v>
      </c>
      <c r="X134" s="114">
        <f>7/7*467469</f>
        <v>467469</v>
      </c>
      <c r="Y134" s="62">
        <f aca="true" t="shared" si="123" ref="Y134:Y139">X134/(W134*1000)</f>
        <v>0.9999336898395722</v>
      </c>
      <c r="AA134" s="245">
        <f>K134-AB134</f>
        <v>97399.75</v>
      </c>
      <c r="AB134" s="93">
        <f>905/905*(3/3*2655*0+(7/7*5392+8/8*360)*0+9/9*6952)+7/7*(903/903*214017+8/8*(23982+5996+2159+102))*0+9/9*((207566+51896+18685+874)+10/10*(36034+9009+3243+152))*0+11/11*(267019+66759+24036+1124)+10/10*905/905*860+8/8*901/901*3319.25</f>
        <v>370069.25</v>
      </c>
      <c r="AC134" s="85"/>
      <c r="AD134" s="201"/>
      <c r="AE134" s="201"/>
      <c r="AF134" s="201"/>
      <c r="AG134" s="201"/>
      <c r="AH134" s="201" t="s">
        <v>409</v>
      </c>
      <c r="AI134" s="229" t="s">
        <v>474</v>
      </c>
      <c r="AJ134" s="229" t="s">
        <v>511</v>
      </c>
      <c r="AK134" s="255" t="s">
        <v>573</v>
      </c>
      <c r="AL134" s="255" t="s">
        <v>616</v>
      </c>
      <c r="AM134" s="255"/>
      <c r="AN134" s="73">
        <f>AA134-7/7*(214017+2737)*0-8/8*(1/1*3319.25+3/3*32239+5/5*360)*0-9/9*(1200+(24373+6094+2195+103))*0-10/10*(36034+9009+3243+152+905/905*860)*0-11/11*31479*0</f>
        <v>97399.75</v>
      </c>
      <c r="AO134" s="119">
        <f t="shared" si="100"/>
        <v>0</v>
      </c>
      <c r="AP134" s="114">
        <f>7/7*467469</f>
        <v>467469</v>
      </c>
      <c r="AQ134" s="118" t="s">
        <v>164</v>
      </c>
      <c r="AR134" s="119">
        <f>AO134-1.2/1.2*0-7/7*467469*0</f>
        <v>0</v>
      </c>
      <c r="AU134" s="141">
        <f t="shared" si="117"/>
        <v>467469</v>
      </c>
      <c r="AV134" s="142"/>
      <c r="AW134" s="143">
        <f t="shared" si="118"/>
        <v>467469</v>
      </c>
      <c r="AX134" s="120"/>
      <c r="AY134" s="51"/>
      <c r="AZ134" s="144">
        <f t="shared" si="119"/>
        <v>467469</v>
      </c>
      <c r="BA134" s="142"/>
      <c r="BB134" s="145">
        <f t="shared" si="120"/>
        <v>467469</v>
      </c>
      <c r="BC134" s="146">
        <f t="shared" si="121"/>
        <v>0</v>
      </c>
    </row>
    <row r="135" spans="1:55" ht="15" customHeight="1">
      <c r="A135" s="37" t="s">
        <v>395</v>
      </c>
      <c r="B135" s="362"/>
      <c r="C135" s="388"/>
      <c r="D135" s="418">
        <f>4/4*33.4</f>
        <v>33.4</v>
      </c>
      <c r="E135" s="47"/>
      <c r="F135" s="47"/>
      <c r="G135" s="47"/>
      <c r="H135" s="416"/>
      <c r="I135" s="417"/>
      <c r="J135" s="388">
        <f t="shared" si="115"/>
        <v>33.4</v>
      </c>
      <c r="K135" s="103">
        <f>33435*(0+5/5)</f>
        <v>33435</v>
      </c>
      <c r="L135" s="62">
        <f t="shared" si="122"/>
        <v>1.0010479041916167</v>
      </c>
      <c r="M135" s="441"/>
      <c r="N135" s="13"/>
      <c r="O135" s="41" t="s">
        <v>241</v>
      </c>
      <c r="P135" s="388"/>
      <c r="Q135" s="418">
        <f>4/4*33.4</f>
        <v>33.4</v>
      </c>
      <c r="R135" s="47"/>
      <c r="S135" s="47"/>
      <c r="T135" s="47"/>
      <c r="U135" s="416"/>
      <c r="V135" s="417"/>
      <c r="W135" s="431">
        <f t="shared" si="116"/>
        <v>33.4</v>
      </c>
      <c r="X135" s="105">
        <f>4/4*33435</f>
        <v>33435</v>
      </c>
      <c r="Y135" s="62">
        <f t="shared" si="123"/>
        <v>1.0010479041916167</v>
      </c>
      <c r="AA135" s="240">
        <f>K135-AB135</f>
        <v>0</v>
      </c>
      <c r="AB135" s="344">
        <f>33435*(0+5/5)</f>
        <v>33435</v>
      </c>
      <c r="AC135" s="261"/>
      <c r="AD135" s="209"/>
      <c r="AE135" s="228">
        <f>(25416+28237+2827+(1173+1303+130)+(5944+6607+658)+(812+903+90))*0+5031/5031*(4510+5012+501)+5032/5032*(1624+1805+180-3609)+(253+228+25-506)</f>
        <v>10023</v>
      </c>
      <c r="AF135" s="228" t="s">
        <v>294</v>
      </c>
      <c r="AG135" s="228"/>
      <c r="AH135" s="228"/>
      <c r="AI135" s="310"/>
      <c r="AJ135" s="310"/>
      <c r="AK135" s="228"/>
      <c r="AL135" s="228"/>
      <c r="AM135" s="228"/>
      <c r="AN135" s="73">
        <f>AA135-5/5*33435*0</f>
        <v>0</v>
      </c>
      <c r="AO135" s="119">
        <f t="shared" si="100"/>
        <v>0</v>
      </c>
      <c r="AP135" s="105">
        <f>4/4*33435</f>
        <v>33435</v>
      </c>
      <c r="AQ135" s="118"/>
      <c r="AR135" s="119">
        <f>AO135-4/4*33435*0</f>
        <v>0</v>
      </c>
      <c r="AU135" s="141">
        <f t="shared" si="117"/>
        <v>33435</v>
      </c>
      <c r="AV135" s="142"/>
      <c r="AW135" s="143">
        <f t="shared" si="118"/>
        <v>33435</v>
      </c>
      <c r="AX135" s="120"/>
      <c r="AY135" s="51"/>
      <c r="AZ135" s="144">
        <f t="shared" si="119"/>
        <v>33435</v>
      </c>
      <c r="BA135" s="142"/>
      <c r="BB135" s="145">
        <f t="shared" si="120"/>
        <v>33435</v>
      </c>
      <c r="BC135" s="146">
        <f t="shared" si="121"/>
        <v>0</v>
      </c>
    </row>
    <row r="136" spans="1:55" ht="15" customHeight="1">
      <c r="A136" s="36" t="s">
        <v>423</v>
      </c>
      <c r="B136" s="361"/>
      <c r="C136" s="388"/>
      <c r="D136" s="420">
        <f>5/5*99.8*0+8/8*491.7+12/12*(5/5*391.9+19/19*292.1)</f>
        <v>1175.7</v>
      </c>
      <c r="E136" s="421"/>
      <c r="F136" s="421"/>
      <c r="G136" s="421"/>
      <c r="H136" s="416"/>
      <c r="I136" s="417"/>
      <c r="J136" s="388">
        <f t="shared" si="115"/>
        <v>1175.7</v>
      </c>
      <c r="K136" s="505">
        <f>(1.2/1.2*64121-16/16*(2516+501+180+7.5))*0+3/3*151853*0+4/4*300091*0+5/5*387823*0+6/6*475555*0+7/7*563793*0+8/8*651525*0+9/9*739257*0+10/10*827495*0+11/11*(915227-(45754.5+411849+457623.5)*0)*0+12/12*1090691</f>
        <v>1090691</v>
      </c>
      <c r="L136" s="62">
        <f t="shared" si="122"/>
        <v>0.9276949902185931</v>
      </c>
      <c r="M136" s="233">
        <f>33063/33063*7/7*1226*0+10/10*(1062.7+1088.5)*0+11/11*2151.2-(J136+J137+10/10*J138)+10/10*(41368.5+935442.4+976828.9)*0+11/11*(1995617.3+77/77*45754.5)-(K136+K137+K138)</f>
        <v>-709406.3999999997</v>
      </c>
      <c r="N136" s="13"/>
      <c r="O136" s="41" t="s">
        <v>106</v>
      </c>
      <c r="P136" s="388"/>
      <c r="Q136" s="420">
        <f>5/5*99.8*0+8/8*491.7+12/12*(5/5*391.9+19/19*292.1)</f>
        <v>1175.7</v>
      </c>
      <c r="R136" s="421"/>
      <c r="S136" s="421"/>
      <c r="T136" s="421"/>
      <c r="U136" s="416"/>
      <c r="V136" s="417"/>
      <c r="W136" s="431">
        <f t="shared" si="116"/>
        <v>1175.7</v>
      </c>
      <c r="X136" s="114">
        <f>5/5*99750*0+8/8*491626.52*0+12/12*1175628.04</f>
        <v>1175628.04</v>
      </c>
      <c r="Y136" s="62">
        <f t="shared" si="123"/>
        <v>0.9999387939100111</v>
      </c>
      <c r="AA136" s="240">
        <f>K136-AB136</f>
        <v>175464</v>
      </c>
      <c r="AB136" s="445">
        <f>(1.2/1.2*64121-16/16*(2516+501+180+7.5))*0+3/3*151853*0+4/4*300091*0+5/5*387823*0+6/6*475555*0+7/7*563793*0+8/8*651525*0+9/9*739257*0+10/10*827495*0+11/11*915227-(45754.5+411849+457623.5)*0</f>
        <v>915227</v>
      </c>
      <c r="AC136" s="261" t="s">
        <v>193</v>
      </c>
      <c r="AD136" s="109" t="s">
        <v>194</v>
      </c>
      <c r="AE136" s="194" t="s">
        <v>247</v>
      </c>
      <c r="AF136" s="194" t="s">
        <v>292</v>
      </c>
      <c r="AG136" s="261" t="s">
        <v>292</v>
      </c>
      <c r="AH136" s="85" t="s">
        <v>449</v>
      </c>
      <c r="AI136" s="295" t="s">
        <v>292</v>
      </c>
      <c r="AJ136" s="295" t="s">
        <v>292</v>
      </c>
      <c r="AK136" s="85" t="s">
        <v>549</v>
      </c>
      <c r="AL136" s="85" t="s">
        <v>292</v>
      </c>
      <c r="AM136" s="85" t="s">
        <v>652</v>
      </c>
      <c r="AN136" s="73">
        <f>AA136-1.2/1.2*64121*0-3/3*(87732-16/16*(3703+501+180+0)*0)*0-4/4*(60000+(74100+10023+3609+506))*0-5/5*((74100+10023+3609)*6/6*7/7+7/7*(253+228+25)*(0*8/8*9/9+10/10*0))*((0+8/8)*0+9/9*0+10/10*0+(11/11+12/12))</f>
        <v>0</v>
      </c>
      <c r="AO136" s="119">
        <f t="shared" si="100"/>
        <v>684001.52</v>
      </c>
      <c r="AP136" s="114">
        <f>5/5*99750*0+8/8*491626.52</f>
        <v>491626.52</v>
      </c>
      <c r="AQ136" s="118" t="s">
        <v>712</v>
      </c>
      <c r="AR136" s="119">
        <f>AO136-1.2/1.2*0-5/5*99750*0-8/8*391876.52*0-12/12*684001.52</f>
        <v>0</v>
      </c>
      <c r="AU136" s="141">
        <f t="shared" si="117"/>
        <v>1090691</v>
      </c>
      <c r="AV136" s="142"/>
      <c r="AW136" s="143">
        <f t="shared" si="118"/>
        <v>1090691</v>
      </c>
      <c r="AX136" s="120"/>
      <c r="AY136" s="51"/>
      <c r="AZ136" s="144">
        <f t="shared" si="119"/>
        <v>1175628.04</v>
      </c>
      <c r="BA136" s="142"/>
      <c r="BB136" s="145">
        <f t="shared" si="120"/>
        <v>1175628.04</v>
      </c>
      <c r="BC136" s="146">
        <f t="shared" si="121"/>
        <v>84937.04000000004</v>
      </c>
    </row>
    <row r="137" spans="1:55" ht="15" customHeight="1">
      <c r="A137" s="36" t="s">
        <v>433</v>
      </c>
      <c r="B137" s="361"/>
      <c r="C137" s="388"/>
      <c r="D137" s="420">
        <f>563.1*2</f>
        <v>1126.2</v>
      </c>
      <c r="E137" s="421"/>
      <c r="F137" s="421"/>
      <c r="G137" s="421"/>
      <c r="H137" s="416"/>
      <c r="I137" s="417"/>
      <c r="J137" s="388">
        <f t="shared" si="115"/>
        <v>1126.2</v>
      </c>
      <c r="K137" s="315">
        <f>563072.4*2</f>
        <v>1126144.8</v>
      </c>
      <c r="L137" s="62">
        <f t="shared" si="122"/>
        <v>0.9999509856153437</v>
      </c>
      <c r="M137" s="233">
        <f>K136-(J136*1000)</f>
        <v>-85009</v>
      </c>
      <c r="N137" s="13"/>
      <c r="O137" s="278" t="s">
        <v>396</v>
      </c>
      <c r="P137" s="388"/>
      <c r="Q137" s="420">
        <f>563.1*2</f>
        <v>1126.2</v>
      </c>
      <c r="R137" s="421"/>
      <c r="S137" s="421"/>
      <c r="T137" s="421"/>
      <c r="U137" s="416"/>
      <c r="V137" s="417"/>
      <c r="W137" s="388">
        <f t="shared" si="116"/>
        <v>1126.2</v>
      </c>
      <c r="X137" s="315">
        <f>7/7*563072.4*2</f>
        <v>1126144.8</v>
      </c>
      <c r="Y137" s="62">
        <f t="shared" si="123"/>
        <v>0.9999509856153437</v>
      </c>
      <c r="AA137" s="240"/>
      <c r="AB137" s="446">
        <f>563072.4*2</f>
        <v>1126144.8</v>
      </c>
      <c r="AC137" s="261"/>
      <c r="AD137" s="194"/>
      <c r="AE137" s="194"/>
      <c r="AF137" s="194"/>
      <c r="AG137" s="261"/>
      <c r="AH137" s="85"/>
      <c r="AI137" s="229"/>
      <c r="AJ137" s="229"/>
      <c r="AK137" s="255"/>
      <c r="AL137" s="255"/>
      <c r="AM137" s="255"/>
      <c r="AN137" s="73">
        <f>AA137-0</f>
        <v>0</v>
      </c>
      <c r="AO137" s="119">
        <f t="shared" si="100"/>
        <v>0</v>
      </c>
      <c r="AP137" s="315">
        <f>7/7*563072.4*2</f>
        <v>1126144.8</v>
      </c>
      <c r="AQ137" s="118"/>
      <c r="AR137" s="119">
        <f>AO137-1.2/1.2*0</f>
        <v>0</v>
      </c>
      <c r="AU137" s="141">
        <f aca="true" t="shared" si="124" ref="AU137:AU144">K137</f>
        <v>1126144.8</v>
      </c>
      <c r="AV137" s="142"/>
      <c r="AW137" s="143">
        <f aca="true" t="shared" si="125" ref="AW137:AW144">AU137+AV137</f>
        <v>1126144.8</v>
      </c>
      <c r="AX137" s="120"/>
      <c r="AY137" s="51"/>
      <c r="AZ137" s="144">
        <f aca="true" t="shared" si="126" ref="AZ137:AZ144">X137</f>
        <v>1126144.8</v>
      </c>
      <c r="BA137" s="142"/>
      <c r="BB137" s="145">
        <f aca="true" t="shared" si="127" ref="BB137:BB144">AZ137+BA137</f>
        <v>1126144.8</v>
      </c>
      <c r="BC137" s="146">
        <f aca="true" t="shared" si="128" ref="BC137:BC144">BB137-AW137</f>
        <v>0</v>
      </c>
    </row>
    <row r="138" spans="1:55" ht="15" customHeight="1">
      <c r="A138" s="36" t="s">
        <v>707</v>
      </c>
      <c r="B138" s="361"/>
      <c r="C138" s="388"/>
      <c r="D138" s="420">
        <f>266.6+266.7</f>
        <v>533.3</v>
      </c>
      <c r="E138" s="421"/>
      <c r="F138" s="421"/>
      <c r="G138" s="421"/>
      <c r="H138" s="416"/>
      <c r="I138" s="417"/>
      <c r="J138" s="388">
        <f>SUM(C138:I138)</f>
        <v>533.3</v>
      </c>
      <c r="K138" s="315">
        <f>12/12*266629.2*2</f>
        <v>533258.4</v>
      </c>
      <c r="L138" s="62">
        <f t="shared" si="122"/>
        <v>0.9999219951246954</v>
      </c>
      <c r="M138" s="233" t="s">
        <v>164</v>
      </c>
      <c r="N138" s="13"/>
      <c r="O138" s="278" t="s">
        <v>396</v>
      </c>
      <c r="P138" s="388"/>
      <c r="Q138" s="420">
        <f>266.6+266.7</f>
        <v>533.3</v>
      </c>
      <c r="R138" s="421"/>
      <c r="S138" s="421"/>
      <c r="T138" s="421"/>
      <c r="U138" s="416"/>
      <c r="V138" s="417"/>
      <c r="W138" s="388">
        <f>SUM(P138:V138)</f>
        <v>533.3</v>
      </c>
      <c r="X138" s="315">
        <f>10/10*533258.4</f>
        <v>533258.4</v>
      </c>
      <c r="Y138" s="62">
        <f t="shared" si="123"/>
        <v>0.9999219951246954</v>
      </c>
      <c r="AA138" s="240"/>
      <c r="AB138" s="315"/>
      <c r="AC138" s="261"/>
      <c r="AD138" s="194"/>
      <c r="AE138" s="194"/>
      <c r="AF138" s="194"/>
      <c r="AG138" s="261"/>
      <c r="AH138" s="85"/>
      <c r="AI138" s="229"/>
      <c r="AJ138" s="229"/>
      <c r="AK138" s="255"/>
      <c r="AL138" s="255"/>
      <c r="AM138" s="255"/>
      <c r="AN138" s="73">
        <f>AA138-0</f>
        <v>0</v>
      </c>
      <c r="AO138" s="119">
        <f>X138-AP138</f>
        <v>0</v>
      </c>
      <c r="AP138" s="315">
        <f>10/10*533258.4</f>
        <v>533258.4</v>
      </c>
      <c r="AQ138" s="118" t="s">
        <v>164</v>
      </c>
      <c r="AR138" s="119">
        <f>AO138-10/10*533258.4*0</f>
        <v>0</v>
      </c>
      <c r="AU138" s="141">
        <f t="shared" si="124"/>
        <v>533258.4</v>
      </c>
      <c r="AV138" s="142"/>
      <c r="AW138" s="143">
        <f t="shared" si="125"/>
        <v>533258.4</v>
      </c>
      <c r="AX138" s="120"/>
      <c r="AY138" s="51"/>
      <c r="AZ138" s="144">
        <f t="shared" si="126"/>
        <v>533258.4</v>
      </c>
      <c r="BA138" s="142"/>
      <c r="BB138" s="145">
        <f t="shared" si="127"/>
        <v>533258.4</v>
      </c>
      <c r="BC138" s="146">
        <f t="shared" si="128"/>
        <v>0</v>
      </c>
    </row>
    <row r="139" spans="1:55" ht="15" customHeight="1">
      <c r="A139" s="36" t="s">
        <v>434</v>
      </c>
      <c r="B139" s="361"/>
      <c r="C139" s="388" t="s">
        <v>397</v>
      </c>
      <c r="D139" s="420">
        <f>7/7*80</f>
        <v>80</v>
      </c>
      <c r="E139" s="421"/>
      <c r="F139" s="421"/>
      <c r="G139" s="421"/>
      <c r="H139" s="416"/>
      <c r="I139" s="417"/>
      <c r="J139" s="388">
        <f>SUM(C139:I139)</f>
        <v>80</v>
      </c>
      <c r="K139" s="315">
        <f>80000*(0+8/8)</f>
        <v>80000</v>
      </c>
      <c r="L139" s="62">
        <f t="shared" si="122"/>
        <v>1</v>
      </c>
      <c r="M139" s="441"/>
      <c r="N139" s="13"/>
      <c r="O139" s="278" t="s">
        <v>398</v>
      </c>
      <c r="P139" s="388"/>
      <c r="Q139" s="420">
        <f>7/7*80</f>
        <v>80</v>
      </c>
      <c r="R139" s="421"/>
      <c r="S139" s="421"/>
      <c r="T139" s="421"/>
      <c r="U139" s="416"/>
      <c r="V139" s="417"/>
      <c r="W139" s="388">
        <f t="shared" si="116"/>
        <v>80</v>
      </c>
      <c r="X139" s="315">
        <f>7/7*80000</f>
        <v>80000</v>
      </c>
      <c r="Y139" s="62">
        <f t="shared" si="123"/>
        <v>1</v>
      </c>
      <c r="AA139" s="240">
        <f>K139-AB139</f>
        <v>0</v>
      </c>
      <c r="AB139" s="446">
        <f>80000*(0+8/8)</f>
        <v>80000</v>
      </c>
      <c r="AC139" s="261"/>
      <c r="AD139" s="194"/>
      <c r="AE139" s="194"/>
      <c r="AF139" s="194"/>
      <c r="AG139" s="261"/>
      <c r="AH139" s="85"/>
      <c r="AI139" s="229" t="s">
        <v>448</v>
      </c>
      <c r="AJ139" s="229"/>
      <c r="AK139" s="255"/>
      <c r="AL139" s="255"/>
      <c r="AM139" s="255"/>
      <c r="AN139" s="73">
        <f>AA139-8/8*80000*0</f>
        <v>0</v>
      </c>
      <c r="AO139" s="119">
        <f t="shared" si="100"/>
        <v>0</v>
      </c>
      <c r="AP139" s="315">
        <f>7/7*80000</f>
        <v>80000</v>
      </c>
      <c r="AQ139" s="118"/>
      <c r="AR139" s="119">
        <f>AO139-1.2/1.2*0</f>
        <v>0</v>
      </c>
      <c r="AU139" s="141">
        <f t="shared" si="124"/>
        <v>80000</v>
      </c>
      <c r="AV139" s="142"/>
      <c r="AW139" s="143">
        <f t="shared" si="125"/>
        <v>80000</v>
      </c>
      <c r="AX139" s="120"/>
      <c r="AY139" s="51"/>
      <c r="AZ139" s="144">
        <f t="shared" si="126"/>
        <v>80000</v>
      </c>
      <c r="BA139" s="142"/>
      <c r="BB139" s="145">
        <f t="shared" si="127"/>
        <v>80000</v>
      </c>
      <c r="BC139" s="146">
        <f t="shared" si="128"/>
        <v>0</v>
      </c>
    </row>
    <row r="140" spans="1:55" ht="15" customHeight="1">
      <c r="A140" s="36" t="s">
        <v>708</v>
      </c>
      <c r="B140" s="361"/>
      <c r="C140" s="388"/>
      <c r="D140" s="420">
        <f>11/11*(9.2+5+22.1+13)</f>
        <v>49.3</v>
      </c>
      <c r="E140" s="421"/>
      <c r="F140" s="421"/>
      <c r="G140" s="421"/>
      <c r="H140" s="416"/>
      <c r="I140" s="417"/>
      <c r="J140" s="388">
        <f t="shared" si="115"/>
        <v>49.3</v>
      </c>
      <c r="K140" s="104">
        <f>11/11*(9200+5000+22134+13008)</f>
        <v>49342</v>
      </c>
      <c r="L140" s="62">
        <f>K140/(J140*1000)</f>
        <v>1.0008519269776877</v>
      </c>
      <c r="M140" s="444"/>
      <c r="N140" s="13"/>
      <c r="O140" s="41" t="s">
        <v>107</v>
      </c>
      <c r="P140" s="388"/>
      <c r="Q140" s="420">
        <f>11/11*(9.2+5+22.1+13)</f>
        <v>49.3</v>
      </c>
      <c r="R140" s="421"/>
      <c r="S140" s="421"/>
      <c r="T140" s="421"/>
      <c r="U140" s="416"/>
      <c r="V140" s="417"/>
      <c r="W140" s="431">
        <f t="shared" si="116"/>
        <v>49.3</v>
      </c>
      <c r="X140" s="104">
        <f>11/11*49342</f>
        <v>49342</v>
      </c>
      <c r="Y140" s="62">
        <f aca="true" t="shared" si="129" ref="Y140:Y145">X140/(W140*1000)</f>
        <v>1.0008519269776877</v>
      </c>
      <c r="AA140" s="248"/>
      <c r="AB140" s="104">
        <f>11/11*(9200+5000+22134+13008)</f>
        <v>49342</v>
      </c>
      <c r="AC140" s="261"/>
      <c r="AD140" s="194"/>
      <c r="AE140" s="194"/>
      <c r="AF140" s="194"/>
      <c r="AG140" s="261"/>
      <c r="AH140" s="85"/>
      <c r="AI140" s="229"/>
      <c r="AJ140" s="229"/>
      <c r="AK140" s="255"/>
      <c r="AL140" s="255"/>
      <c r="AM140" s="255"/>
      <c r="AN140" s="73">
        <f>AA140-0</f>
        <v>0</v>
      </c>
      <c r="AO140" s="119">
        <f t="shared" si="100"/>
        <v>0</v>
      </c>
      <c r="AP140" s="104">
        <f>11/11*49342</f>
        <v>49342</v>
      </c>
      <c r="AQ140" s="118"/>
      <c r="AR140" s="119">
        <f>AO140-1.2/1.2*0</f>
        <v>0</v>
      </c>
      <c r="AU140" s="141">
        <f t="shared" si="124"/>
        <v>49342</v>
      </c>
      <c r="AV140" s="142"/>
      <c r="AW140" s="143">
        <f t="shared" si="125"/>
        <v>49342</v>
      </c>
      <c r="AX140" s="120"/>
      <c r="AY140" s="51"/>
      <c r="AZ140" s="144">
        <f t="shared" si="126"/>
        <v>49342</v>
      </c>
      <c r="BA140" s="142"/>
      <c r="BB140" s="145">
        <f t="shared" si="127"/>
        <v>49342</v>
      </c>
      <c r="BC140" s="146">
        <f t="shared" si="128"/>
        <v>0</v>
      </c>
    </row>
    <row r="141" spans="1:55" ht="15" customHeight="1">
      <c r="A141" s="36" t="s">
        <v>709</v>
      </c>
      <c r="B141" s="361"/>
      <c r="C141" s="388"/>
      <c r="D141" s="420">
        <f>10/10*4608.6</f>
        <v>4608.6</v>
      </c>
      <c r="E141" s="421"/>
      <c r="F141" s="421"/>
      <c r="G141" s="421"/>
      <c r="H141" s="416"/>
      <c r="I141" s="417"/>
      <c r="J141" s="388">
        <f t="shared" si="115"/>
        <v>4608.6</v>
      </c>
      <c r="K141" s="104">
        <f>11/11*4608641.18</f>
        <v>4608641.18</v>
      </c>
      <c r="L141" s="62">
        <f t="shared" si="122"/>
        <v>1.000008935468472</v>
      </c>
      <c r="M141" s="444"/>
      <c r="N141" s="13"/>
      <c r="O141" s="41" t="s">
        <v>544</v>
      </c>
      <c r="P141" s="388"/>
      <c r="Q141" s="420">
        <f>10/10*4608.6</f>
        <v>4608.6</v>
      </c>
      <c r="R141" s="421"/>
      <c r="S141" s="421"/>
      <c r="T141" s="421"/>
      <c r="U141" s="416"/>
      <c r="V141" s="417"/>
      <c r="W141" s="388">
        <f t="shared" si="116"/>
        <v>4608.6</v>
      </c>
      <c r="X141" s="114">
        <f>10/10*4608641.18</f>
        <v>4608641.18</v>
      </c>
      <c r="Y141" s="62">
        <f t="shared" si="129"/>
        <v>1.000008935468472</v>
      </c>
      <c r="AA141" s="233">
        <f>K141-AB141</f>
        <v>0</v>
      </c>
      <c r="AB141" s="104">
        <f>11/11*4608641.18</f>
        <v>4608641.18</v>
      </c>
      <c r="AC141" s="261"/>
      <c r="AD141" s="194"/>
      <c r="AE141" s="194"/>
      <c r="AF141" s="194"/>
      <c r="AG141" s="261"/>
      <c r="AH141" s="85"/>
      <c r="AI141" s="229"/>
      <c r="AJ141" s="229"/>
      <c r="AK141" s="255"/>
      <c r="AL141" s="255" t="s">
        <v>588</v>
      </c>
      <c r="AM141" s="255"/>
      <c r="AN141" s="73">
        <f>AA141-11/11*4608641.18*0</f>
        <v>0</v>
      </c>
      <c r="AO141" s="119">
        <f>X141-AP141</f>
        <v>0</v>
      </c>
      <c r="AP141" s="114">
        <f>10/10*4608641.18</f>
        <v>4608641.18</v>
      </c>
      <c r="AQ141" s="118"/>
      <c r="AR141" s="119"/>
      <c r="AU141" s="141">
        <f t="shared" si="124"/>
        <v>4608641.18</v>
      </c>
      <c r="AV141" s="142"/>
      <c r="AW141" s="143">
        <f t="shared" si="125"/>
        <v>4608641.18</v>
      </c>
      <c r="AX141" s="120"/>
      <c r="AY141" s="51"/>
      <c r="AZ141" s="144">
        <f t="shared" si="126"/>
        <v>4608641.18</v>
      </c>
      <c r="BA141" s="142"/>
      <c r="BB141" s="145">
        <f t="shared" si="127"/>
        <v>4608641.18</v>
      </c>
      <c r="BC141" s="146">
        <f t="shared" si="128"/>
        <v>0</v>
      </c>
    </row>
    <row r="142" spans="1:55" ht="15" customHeight="1">
      <c r="A142" s="36" t="s">
        <v>571</v>
      </c>
      <c r="B142" s="361"/>
      <c r="C142" s="388"/>
      <c r="D142" s="420">
        <f>10/10*263.2</f>
        <v>263.2</v>
      </c>
      <c r="E142" s="421"/>
      <c r="F142" s="421"/>
      <c r="G142" s="421"/>
      <c r="H142" s="416"/>
      <c r="I142" s="417"/>
      <c r="J142" s="388">
        <f>SUM(C142:I142)</f>
        <v>263.2</v>
      </c>
      <c r="K142" s="104">
        <f>10/10*(31116.49+98072/98072*3914)*0+11/11*(901/901*7794.82+902/902*278897.49)</f>
        <v>286692.31</v>
      </c>
      <c r="L142" s="62">
        <f>K142/(J142*1000)</f>
        <v>1.0892564969604863</v>
      </c>
      <c r="M142" s="444"/>
      <c r="N142" s="13"/>
      <c r="O142" s="41" t="s">
        <v>490</v>
      </c>
      <c r="P142" s="388"/>
      <c r="Q142" s="420">
        <f>10/10*263.2</f>
        <v>263.2</v>
      </c>
      <c r="R142" s="421"/>
      <c r="S142" s="421"/>
      <c r="T142" s="421"/>
      <c r="U142" s="416"/>
      <c r="V142" s="417"/>
      <c r="W142" s="388">
        <f>SUM(P142:V142)</f>
        <v>263.2</v>
      </c>
      <c r="X142" s="114">
        <f>10/10*263200</f>
        <v>263200</v>
      </c>
      <c r="Y142" s="62">
        <f t="shared" si="129"/>
        <v>1</v>
      </c>
      <c r="AA142" s="240">
        <f>K142-AB142</f>
        <v>0</v>
      </c>
      <c r="AB142" s="104">
        <f>10/10*(31116.49+98072/98072*3914)*0+11/11*(901/901*7794.82+902/902*278897.49)</f>
        <v>286692.31</v>
      </c>
      <c r="AC142" s="261"/>
      <c r="AD142" s="194"/>
      <c r="AE142" s="194"/>
      <c r="AF142" s="194"/>
      <c r="AG142" s="261"/>
      <c r="AH142" s="85"/>
      <c r="AI142" s="229"/>
      <c r="AJ142" s="229"/>
      <c r="AK142" s="255" t="s">
        <v>572</v>
      </c>
      <c r="AL142" s="255" t="s">
        <v>618</v>
      </c>
      <c r="AM142" s="255"/>
      <c r="AN142" s="73">
        <f>AA142-10/10*(8967+10140+986+784.99+10238.5)*0-11/11*251661.82*0</f>
        <v>0</v>
      </c>
      <c r="AO142" s="119">
        <f>X142-AP142</f>
        <v>0</v>
      </c>
      <c r="AP142" s="114">
        <f>10/10*263200</f>
        <v>263200</v>
      </c>
      <c r="AQ142" s="118" t="s">
        <v>164</v>
      </c>
      <c r="AR142" s="119">
        <f>AO142-9/9*263200*0</f>
        <v>0</v>
      </c>
      <c r="AU142" s="141">
        <f t="shared" si="124"/>
        <v>286692.31</v>
      </c>
      <c r="AV142" s="142"/>
      <c r="AW142" s="143">
        <f t="shared" si="125"/>
        <v>286692.31</v>
      </c>
      <c r="AX142" s="120"/>
      <c r="AY142" s="51"/>
      <c r="AZ142" s="144">
        <f t="shared" si="126"/>
        <v>263200</v>
      </c>
      <c r="BA142" s="142"/>
      <c r="BB142" s="145">
        <f t="shared" si="127"/>
        <v>263200</v>
      </c>
      <c r="BC142" s="146">
        <f t="shared" si="128"/>
        <v>-23492.309999999998</v>
      </c>
    </row>
    <row r="143" spans="1:55" ht="14.25">
      <c r="A143" s="36" t="s">
        <v>489</v>
      </c>
      <c r="B143" s="361"/>
      <c r="C143" s="388"/>
      <c r="D143" s="420">
        <f>9/9*19</f>
        <v>19</v>
      </c>
      <c r="E143" s="421"/>
      <c r="F143" s="421"/>
      <c r="G143" s="421"/>
      <c r="H143" s="416"/>
      <c r="I143" s="417"/>
      <c r="J143" s="388">
        <f t="shared" si="115"/>
        <v>19</v>
      </c>
      <c r="K143" s="104">
        <f>12/12*19000</f>
        <v>19000</v>
      </c>
      <c r="L143" s="62">
        <f t="shared" si="122"/>
        <v>1</v>
      </c>
      <c r="M143" s="444"/>
      <c r="N143" s="13"/>
      <c r="O143" s="41" t="s">
        <v>490</v>
      </c>
      <c r="P143" s="388"/>
      <c r="Q143" s="420">
        <f>9/9*19</f>
        <v>19</v>
      </c>
      <c r="R143" s="421"/>
      <c r="S143" s="421"/>
      <c r="T143" s="421"/>
      <c r="U143" s="416"/>
      <c r="V143" s="417"/>
      <c r="W143" s="388">
        <f t="shared" si="116"/>
        <v>19</v>
      </c>
      <c r="X143" s="114">
        <f>9/9*19000</f>
        <v>19000</v>
      </c>
      <c r="Y143" s="62">
        <f t="shared" si="129"/>
        <v>1</v>
      </c>
      <c r="AA143" s="248"/>
      <c r="AB143" s="104">
        <v>0</v>
      </c>
      <c r="AC143" s="261"/>
      <c r="AD143" s="194"/>
      <c r="AE143" s="194"/>
      <c r="AF143" s="194"/>
      <c r="AG143" s="261"/>
      <c r="AH143" s="85"/>
      <c r="AI143" s="229"/>
      <c r="AJ143" s="229"/>
      <c r="AK143" s="255"/>
      <c r="AL143" s="255"/>
      <c r="AM143" s="255"/>
      <c r="AN143" s="73">
        <f>AA143-0</f>
        <v>0</v>
      </c>
      <c r="AO143" s="119">
        <f>X143-AP143</f>
        <v>0</v>
      </c>
      <c r="AP143" s="114">
        <f>9/9*19000</f>
        <v>19000</v>
      </c>
      <c r="AQ143" s="118" t="s">
        <v>164</v>
      </c>
      <c r="AR143" s="119">
        <f>AO143-9/9*19000*0</f>
        <v>0</v>
      </c>
      <c r="AU143" s="141">
        <f t="shared" si="124"/>
        <v>19000</v>
      </c>
      <c r="AV143" s="142"/>
      <c r="AW143" s="143">
        <f t="shared" si="125"/>
        <v>19000</v>
      </c>
      <c r="AX143" s="120"/>
      <c r="AY143" s="51"/>
      <c r="AZ143" s="144">
        <f t="shared" si="126"/>
        <v>19000</v>
      </c>
      <c r="BA143" s="142"/>
      <c r="BB143" s="145">
        <f t="shared" si="127"/>
        <v>19000</v>
      </c>
      <c r="BC143" s="146">
        <f t="shared" si="128"/>
        <v>0</v>
      </c>
    </row>
    <row r="144" spans="1:55" ht="14.25">
      <c r="A144" s="36" t="s">
        <v>632</v>
      </c>
      <c r="B144" s="361"/>
      <c r="C144" s="388"/>
      <c r="D144" s="418">
        <f>12/12*2000</f>
        <v>2000</v>
      </c>
      <c r="E144" s="47"/>
      <c r="F144" s="47"/>
      <c r="G144" s="47"/>
      <c r="H144" s="416"/>
      <c r="I144" s="417"/>
      <c r="J144" s="388">
        <f t="shared" si="115"/>
        <v>2000</v>
      </c>
      <c r="K144" s="103"/>
      <c r="L144" s="70"/>
      <c r="M144" s="444"/>
      <c r="N144" s="13"/>
      <c r="O144" s="20" t="s">
        <v>589</v>
      </c>
      <c r="P144" s="388"/>
      <c r="Q144" s="418">
        <f>12/12*2000</f>
        <v>2000</v>
      </c>
      <c r="R144" s="47"/>
      <c r="S144" s="47"/>
      <c r="T144" s="47"/>
      <c r="U144" s="416"/>
      <c r="V144" s="417"/>
      <c r="W144" s="388">
        <f t="shared" si="116"/>
        <v>2000</v>
      </c>
      <c r="X144" s="266">
        <f>12/12*2000000</f>
        <v>2000000</v>
      </c>
      <c r="Y144" s="62">
        <f t="shared" si="129"/>
        <v>1</v>
      </c>
      <c r="AA144" s="249"/>
      <c r="AB144" s="103"/>
      <c r="AC144" s="261"/>
      <c r="AD144" s="194"/>
      <c r="AE144" s="194"/>
      <c r="AF144" s="194"/>
      <c r="AG144" s="261"/>
      <c r="AH144" s="85"/>
      <c r="AI144" s="229"/>
      <c r="AJ144" s="229"/>
      <c r="AK144" s="255"/>
      <c r="AL144" s="255"/>
      <c r="AM144" s="255"/>
      <c r="AN144" s="73">
        <f>AA144-0</f>
        <v>0</v>
      </c>
      <c r="AO144" s="119">
        <f t="shared" si="100"/>
        <v>2000000</v>
      </c>
      <c r="AP144" s="266"/>
      <c r="AQ144" s="118" t="s">
        <v>713</v>
      </c>
      <c r="AR144" s="119">
        <f>AO144-1.2/1.2*0-12/12*2000000</f>
        <v>0</v>
      </c>
      <c r="AU144" s="141">
        <f t="shared" si="124"/>
        <v>0</v>
      </c>
      <c r="AV144" s="142"/>
      <c r="AW144" s="143">
        <f t="shared" si="125"/>
        <v>0</v>
      </c>
      <c r="AX144" s="120"/>
      <c r="AY144" s="51"/>
      <c r="AZ144" s="144">
        <f t="shared" si="126"/>
        <v>2000000</v>
      </c>
      <c r="BA144" s="142"/>
      <c r="BB144" s="145">
        <f t="shared" si="127"/>
        <v>2000000</v>
      </c>
      <c r="BC144" s="146">
        <f t="shared" si="128"/>
        <v>2000000</v>
      </c>
    </row>
    <row r="145" spans="1:56" ht="15.75" thickBot="1">
      <c r="A145" s="40" t="s">
        <v>62</v>
      </c>
      <c r="B145" s="367"/>
      <c r="C145" s="424">
        <f aca="true" t="shared" si="130" ref="C145:K145">SUM(C91:C144)</f>
        <v>0</v>
      </c>
      <c r="D145" s="433">
        <f>SUM(D91:D144)</f>
        <v>171290.7</v>
      </c>
      <c r="E145" s="425">
        <f t="shared" si="130"/>
        <v>0</v>
      </c>
      <c r="F145" s="425">
        <f t="shared" si="130"/>
        <v>0</v>
      </c>
      <c r="G145" s="425">
        <f t="shared" si="130"/>
        <v>0</v>
      </c>
      <c r="H145" s="425">
        <f t="shared" si="130"/>
        <v>0</v>
      </c>
      <c r="I145" s="426">
        <f t="shared" si="130"/>
        <v>0</v>
      </c>
      <c r="J145" s="424">
        <f t="shared" si="130"/>
        <v>171290.7</v>
      </c>
      <c r="K145" s="107">
        <f t="shared" si="130"/>
        <v>51886584.519999996</v>
      </c>
      <c r="L145" s="506">
        <f>K145/(J145*1000)</f>
        <v>0.3029153627137959</v>
      </c>
      <c r="M145" s="438">
        <f>(1.2/1.2*0-J145)*0+(1.2/1.2*0+7/7*(19203503.98*0+10/10*25774607.75+96/96*142400*0-90/90*314136)-K145)</f>
        <v>-26426112.769999996</v>
      </c>
      <c r="N145" s="80"/>
      <c r="O145" s="15"/>
      <c r="P145" s="424">
        <f aca="true" t="shared" si="131" ref="P145:X145">SUM(P91:P144)</f>
        <v>0</v>
      </c>
      <c r="Q145" s="433">
        <f t="shared" si="131"/>
        <v>122783.09999999999</v>
      </c>
      <c r="R145" s="425">
        <f t="shared" si="131"/>
        <v>0</v>
      </c>
      <c r="S145" s="425">
        <f t="shared" si="131"/>
        <v>0</v>
      </c>
      <c r="T145" s="425">
        <f t="shared" si="131"/>
        <v>0</v>
      </c>
      <c r="U145" s="425">
        <f t="shared" si="131"/>
        <v>0</v>
      </c>
      <c r="V145" s="426">
        <f t="shared" si="131"/>
        <v>0</v>
      </c>
      <c r="W145" s="507">
        <f t="shared" si="131"/>
        <v>122783.09999999999</v>
      </c>
      <c r="X145" s="107">
        <f t="shared" si="131"/>
        <v>117625531.66</v>
      </c>
      <c r="Y145" s="506">
        <f t="shared" si="129"/>
        <v>0.9579944769271993</v>
      </c>
      <c r="AA145" s="250">
        <f>SUM(AA91:AA144)</f>
        <v>7041401.37</v>
      </c>
      <c r="AB145" s="107">
        <f>SUM(AB91:AB144)</f>
        <v>44292924.75</v>
      </c>
      <c r="AC145" s="267"/>
      <c r="AD145" s="210"/>
      <c r="AE145" s="210"/>
      <c r="AF145" s="210"/>
      <c r="AG145" s="267"/>
      <c r="AH145" s="279"/>
      <c r="AI145" s="312"/>
      <c r="AJ145" s="312"/>
      <c r="AK145" s="508"/>
      <c r="AL145" s="508"/>
      <c r="AM145" s="508"/>
      <c r="AN145" s="285">
        <f>SUM(AN91:AN144)</f>
        <v>5246775.03</v>
      </c>
      <c r="AO145" s="198">
        <f>SUM(AO91:AO144)</f>
        <v>3528001.52</v>
      </c>
      <c r="AP145" s="107">
        <f>SUM(AP91:AP144)</f>
        <v>100569656.9</v>
      </c>
      <c r="AQ145" s="110"/>
      <c r="AR145" s="198">
        <f>SUM(AR91:AR144)</f>
        <v>844000</v>
      </c>
      <c r="AU145" s="509">
        <f aca="true" t="shared" si="132" ref="AU145:BC145">SUM(AU91:AU144)</f>
        <v>51886584.519999996</v>
      </c>
      <c r="AV145" s="80">
        <f t="shared" si="132"/>
        <v>0</v>
      </c>
      <c r="AW145" s="259">
        <f t="shared" si="132"/>
        <v>51886584.519999996</v>
      </c>
      <c r="AX145" s="159">
        <f t="shared" si="132"/>
        <v>0</v>
      </c>
      <c r="AY145" s="159">
        <f t="shared" si="132"/>
        <v>0</v>
      </c>
      <c r="AZ145" s="260">
        <f t="shared" si="132"/>
        <v>117625531.66</v>
      </c>
      <c r="BA145" s="80">
        <f t="shared" si="132"/>
        <v>0</v>
      </c>
      <c r="BB145" s="80">
        <f t="shared" si="132"/>
        <v>117625531.66</v>
      </c>
      <c r="BC145" s="158">
        <f t="shared" si="132"/>
        <v>65738947.14</v>
      </c>
      <c r="BD145" s="197">
        <f>AZ145-X145</f>
        <v>0</v>
      </c>
    </row>
    <row r="146" spans="1:42" ht="13.5" thickTop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P146" s="11"/>
    </row>
    <row r="147" spans="3:54" ht="12" customHeight="1" hidden="1">
      <c r="C147" s="403"/>
      <c r="D147" s="211">
        <f>7542.2*0+4/4*(85261.5-48507.6*0)*0+5/5*86892.8*0+6/6*87990.4*0+7/7*89349.5*0+9/9*110177.1-99/99*314.6-D145</f>
        <v>-61428.20000000001</v>
      </c>
      <c r="E147" s="406"/>
      <c r="F147" s="406"/>
      <c r="G147" s="406"/>
      <c r="H147" s="407"/>
      <c r="I147" s="407"/>
      <c r="J147" s="211">
        <f>7542.2*0+4/4*(85261.5-48507.6*0)*0+5/5*86892.8*0+6/6*87990.4*0+7/7*89664.1*0+8/8*90732.7*0+9/9*110177.1*0+10/10*(115267.6*0+115582.2)-90/90*314.6-J145</f>
        <v>-56023.10000000002</v>
      </c>
      <c r="K147" s="287">
        <f>3/3*((3361510.68+4351/4351*(81/81*62004.84+13305/13305*143944)+13010/13010*58304)*0+3625763.52)*0+4/4*(5285271.87)*0+5/5*13616827.25*0+6/6*(16509597.66*0+1007/1007*16677522.17-90/90*314136)*0+7/7*(19203503.98*0+8/8*20656839.71*0+9/9*22480285.15*0+10/10*25460471.75+96/96*142400*0-90/90*314136*0)-K145</f>
        <v>-26426112.769999996</v>
      </c>
      <c r="L147" s="60"/>
      <c r="P147" s="403"/>
      <c r="Q147" s="211">
        <f>7542.2*0+4/4*(85261.5*0+5/5*86892.8*0+6/6*95744.1*0+8/8*98486.4*0+9/9*117930.8-99/99*8068.3-48507.6)-Q145</f>
        <v>-61428.19999999999</v>
      </c>
      <c r="R147" s="406"/>
      <c r="S147" s="406"/>
      <c r="U147" s="407"/>
      <c r="V147" s="407"/>
      <c r="W147" s="211">
        <f>7542.2*0+4/4*(85261.5*0+5/5*86892.8*0+6/6*95744.1*0+7/7*97417.8*0+8/8*98486.4*0+9/9*117930.8*0+10/10*115267.6-99/99*(8066.4*0+1.9)-90/90*48507.6)-W145</f>
        <v>-56024.999999999985</v>
      </c>
      <c r="X147" s="211">
        <f>6011240*0+4/4*8140955*0+5/5*9248705*0+6/6*11144705*0+7/7*(21148489.72*0+8/8*22217086.24*0+9/9*49736086.24*0+10/10*55272454.9-99/99*8066430.92*0-81/81*2016/2016*1940)-X145</f>
        <v>-62355016.76</v>
      </c>
      <c r="Y147" s="60"/>
      <c r="AA147" s="251"/>
      <c r="AB147" s="287">
        <f>3/3*((3361510.68+4351/4351*(81/81*62004.84+13305/13305*143944)+13010/13010*58304)*0+3625763.52)*0+4/4*(5285271.87)*0+5/5*13616827.25*0+6/6*(16509597.66*0+1007/1007*16677522.17-90/90*314136)*0+7/7*(19203503.98*0+8/8*20656839.71*0+9/9*22480285.15*0+10/10*25460471.75+96/96*142400*0-90/90*314136*0)-AB145</f>
        <v>-18832453</v>
      </c>
      <c r="AN147" s="251"/>
      <c r="AP147" s="211">
        <f>6011240*0+4/4*8140955*0+5/5*9248705*0+6/6*11144705*0+7/7*(21148489.72*0+8/8*22217086.24*0+9/9*49736086.24*0+10/10*55272454.9-99/99*8066430.92*0-81/81*2016/2016*1940)-AP145</f>
        <v>-45299142.00000001</v>
      </c>
      <c r="AU147" s="111">
        <f>AU145-4/4*5285271.87*0-6/6*0-7/7*19031767.98*0-8/8*20342703.71*0-9/9*(22480285.15*0+10/10*25774607.75-90/90*314136)</f>
        <v>26426112.769999996</v>
      </c>
      <c r="AZ147" s="111">
        <f>AZ145-AU145-BC145*0</f>
        <v>65738947.14</v>
      </c>
      <c r="BB147" s="111">
        <f>BB145-AW145-BC145*0</f>
        <v>65738947.14</v>
      </c>
    </row>
    <row r="148" spans="3:42" ht="6" customHeight="1" thickBot="1">
      <c r="C148" s="403"/>
      <c r="D148" s="403"/>
      <c r="E148" s="406"/>
      <c r="F148" s="406"/>
      <c r="G148" s="406"/>
      <c r="H148" s="407"/>
      <c r="I148" s="407"/>
      <c r="J148" s="403"/>
      <c r="K148" s="101"/>
      <c r="L148" s="60"/>
      <c r="P148" s="403"/>
      <c r="Q148" s="406"/>
      <c r="R148" s="406"/>
      <c r="S148" s="406"/>
      <c r="U148" s="407"/>
      <c r="V148" s="407"/>
      <c r="W148" s="403"/>
      <c r="X148" s="101"/>
      <c r="Y148" s="60"/>
      <c r="AA148" s="251"/>
      <c r="AB148" s="101"/>
      <c r="AN148" s="251"/>
      <c r="AP148" s="101"/>
    </row>
    <row r="149" spans="1:55" ht="16.5" thickBot="1" thickTop="1">
      <c r="A149" s="16" t="s">
        <v>63</v>
      </c>
      <c r="B149" s="368"/>
      <c r="C149" s="166">
        <f aca="true" t="shared" si="133" ref="C149:K149">C85+C145</f>
        <v>91967</v>
      </c>
      <c r="D149" s="166">
        <f t="shared" si="133"/>
        <v>171290.7</v>
      </c>
      <c r="E149" s="166">
        <f t="shared" si="133"/>
        <v>841</v>
      </c>
      <c r="F149" s="166">
        <f t="shared" si="133"/>
        <v>8068.199999999999</v>
      </c>
      <c r="G149" s="166">
        <f t="shared" si="133"/>
        <v>1863</v>
      </c>
      <c r="H149" s="166">
        <f t="shared" si="133"/>
        <v>177.00000000000034</v>
      </c>
      <c r="I149" s="166">
        <f t="shared" si="133"/>
        <v>1033.7000000000005</v>
      </c>
      <c r="J149" s="166">
        <f t="shared" si="133"/>
        <v>275240.60000000003</v>
      </c>
      <c r="K149" s="108">
        <f t="shared" si="133"/>
        <v>161616168.64000002</v>
      </c>
      <c r="L149" s="68">
        <f>K149/(J149*1000)</f>
        <v>0.5871814283212577</v>
      </c>
      <c r="M149" s="439">
        <f>(1.2/1.2*0-J149)*0+(1.2/1.2*(41109280.03-21527530.85)*0+3/3*(61194682.06-32001923.85)-K149)</f>
        <v>-132423410.43</v>
      </c>
      <c r="O149" s="17" t="s">
        <v>64</v>
      </c>
      <c r="P149" s="166">
        <f aca="true" t="shared" si="134" ref="P149:X149">P85+P145</f>
        <v>91967</v>
      </c>
      <c r="Q149" s="166">
        <f t="shared" si="134"/>
        <v>122783.09999999999</v>
      </c>
      <c r="R149" s="166">
        <f t="shared" si="134"/>
        <v>841</v>
      </c>
      <c r="S149" s="166">
        <f t="shared" si="134"/>
        <v>8068.299999999999</v>
      </c>
      <c r="T149" s="166">
        <f t="shared" si="134"/>
        <v>1863</v>
      </c>
      <c r="U149" s="166">
        <f t="shared" si="134"/>
        <v>178.347</v>
      </c>
      <c r="V149" s="166">
        <f t="shared" si="134"/>
        <v>1033.7</v>
      </c>
      <c r="W149" s="434">
        <f>W85+W145</f>
        <v>226734.447</v>
      </c>
      <c r="X149" s="108">
        <f t="shared" si="134"/>
        <v>220910807.65</v>
      </c>
      <c r="Y149" s="68">
        <f>X149/(W149*1000)</f>
        <v>0.9743151540180395</v>
      </c>
      <c r="AA149" s="108">
        <f>AA85+AA145</f>
        <v>19752114.03</v>
      </c>
      <c r="AB149" s="108">
        <f>AB85+AB145</f>
        <v>141311796.21</v>
      </c>
      <c r="AC149" s="89"/>
      <c r="AD149" s="89"/>
      <c r="AE149" s="89"/>
      <c r="AF149" s="89"/>
      <c r="AG149" s="89"/>
      <c r="AH149" s="89"/>
      <c r="AI149" s="313"/>
      <c r="AJ149" s="313"/>
      <c r="AK149" s="168"/>
      <c r="AL149" s="168"/>
      <c r="AM149" s="168"/>
      <c r="AN149" s="108">
        <f>AN85+AN145</f>
        <v>9510249.040000001</v>
      </c>
      <c r="AO149" s="17">
        <f>AO85+AO145</f>
        <v>21265582.96999927</v>
      </c>
      <c r="AP149" s="108">
        <f>AP85+AP145</f>
        <v>185881993.44000077</v>
      </c>
      <c r="AQ149" s="49"/>
      <c r="AR149" s="17">
        <f>AR85+AR145</f>
        <v>844000.0799992682</v>
      </c>
      <c r="AU149" s="510">
        <f>AU85+AU145-931410*0</f>
        <v>161616168.64000002</v>
      </c>
      <c r="AV149" s="378">
        <f>AV85+AV145</f>
        <v>11632306.96</v>
      </c>
      <c r="AW149" s="511">
        <f>AW85+AW145</f>
        <v>173248475.6</v>
      </c>
      <c r="AX149" s="72"/>
      <c r="AY149" s="166" t="s">
        <v>64</v>
      </c>
      <c r="AZ149" s="510">
        <f>AZ85+AZ145</f>
        <v>220910807.65</v>
      </c>
      <c r="BA149" s="378">
        <f>BA85+BA145</f>
        <v>33270530.769999996</v>
      </c>
      <c r="BB149" s="378">
        <f>BB85+BB145</f>
        <v>254181338.42</v>
      </c>
      <c r="BC149" s="512">
        <f>BB149-AW149</f>
        <v>80932862.82</v>
      </c>
    </row>
    <row r="150" spans="1:42" ht="12" customHeight="1" thickBot="1" thickTop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P150" s="11"/>
    </row>
    <row r="151" spans="1:55" ht="14.25" thickBot="1" thickTop="1">
      <c r="A151" s="147"/>
      <c r="B151" s="197"/>
      <c r="C151" s="147"/>
      <c r="D151" s="147"/>
      <c r="E151" s="147"/>
      <c r="F151" s="147"/>
      <c r="G151" s="147"/>
      <c r="H151" s="147"/>
      <c r="I151" s="147"/>
      <c r="J151" s="11"/>
      <c r="K151" s="11"/>
      <c r="L151" s="11"/>
      <c r="M151" s="11"/>
      <c r="O151" s="18" t="s">
        <v>41</v>
      </c>
      <c r="P151" s="435">
        <f aca="true" t="shared" si="135" ref="P151:V151">P149-C149</f>
        <v>0</v>
      </c>
      <c r="Q151" s="435">
        <f t="shared" si="135"/>
        <v>-48507.60000000002</v>
      </c>
      <c r="R151" s="435">
        <f t="shared" si="135"/>
        <v>0</v>
      </c>
      <c r="S151" s="435">
        <f t="shared" si="135"/>
        <v>0.1000000000003638</v>
      </c>
      <c r="T151" s="435">
        <f t="shared" si="135"/>
        <v>0</v>
      </c>
      <c r="U151" s="435">
        <f t="shared" si="135"/>
        <v>1.3469999999996674</v>
      </c>
      <c r="V151" s="435">
        <f t="shared" si="135"/>
        <v>0</v>
      </c>
      <c r="W151" s="436">
        <f>W149-J149</f>
        <v>-48506.15300000005</v>
      </c>
      <c r="X151" s="437">
        <f>X149-K149</f>
        <v>59294639.00999999</v>
      </c>
      <c r="Y151" s="60"/>
      <c r="AA151" s="101"/>
      <c r="AB151" s="290"/>
      <c r="AC151" s="83"/>
      <c r="AD151" s="83"/>
      <c r="AE151" s="83"/>
      <c r="AF151" s="83"/>
      <c r="AG151" s="83"/>
      <c r="AH151" s="83"/>
      <c r="AI151" s="307"/>
      <c r="AJ151" s="307"/>
      <c r="AK151" s="405"/>
      <c r="AL151" s="405"/>
      <c r="AM151" s="405"/>
      <c r="AN151" s="101"/>
      <c r="AP151" s="437">
        <f>AP149-AB149</f>
        <v>44570197.230000764</v>
      </c>
      <c r="AU151" s="111"/>
      <c r="AW151" s="147"/>
      <c r="AX151" s="513" t="s">
        <v>681</v>
      </c>
      <c r="AY151" s="168" t="s">
        <v>41</v>
      </c>
      <c r="AZ151" s="514">
        <f>AZ149-AU149</f>
        <v>59294639.00999999</v>
      </c>
      <c r="BA151" s="379">
        <f>BA149-AV149</f>
        <v>21638223.809999995</v>
      </c>
      <c r="BB151" s="379">
        <f>BB149-AW149</f>
        <v>80932862.82</v>
      </c>
      <c r="BC151" s="515">
        <f>BC149</f>
        <v>80932862.82</v>
      </c>
    </row>
    <row r="152" spans="1:42" ht="13.5" thickTop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P152" s="11"/>
    </row>
  </sheetData>
  <sheetProtection/>
  <mergeCells count="7">
    <mergeCell ref="BC2:BC3"/>
    <mergeCell ref="C2:J2"/>
    <mergeCell ref="P2:W2"/>
    <mergeCell ref="AU2:AW2"/>
    <mergeCell ref="AZ2:BB2"/>
    <mergeCell ref="AO2:AR2"/>
    <mergeCell ref="AA2:AN2"/>
  </mergeCells>
  <printOptions gridLines="1"/>
  <pageMargins left="0.1968503937007874" right="0.1968503937007874" top="0.7874015748031497" bottom="0.4724409448818898" header="0.5118110236220472" footer="0.31496062992125984"/>
  <pageSetup fitToHeight="0" horizontalDpi="600" verticalDpi="600" orientation="landscape" paperSize="9" scale="59" r:id="rId1"/>
  <headerFooter alignWithMargins="0">
    <oddHeader>&amp;L&amp;"Arial,Tučné"&amp;12Informace o hospodaření MČ Praha 16  v období 1-12/2017 dle rozpočtových kapitol&amp;R&amp;"Arial,Kurzíva"&amp;9ZMČ 18.06.2018 ZÚ 2017 příl 2b/&amp;"Arial,Obyčejné"&amp;7
</oddHeader>
    <oddFooter>&amp;L&amp;7&amp;F&amp;R&amp;7&amp;P/&amp;N</oddFooter>
  </headerFooter>
  <rowBreaks count="2" manualBreakCount="2">
    <brk id="55" max="255" man="1"/>
    <brk id="89" max="255" man="1"/>
  </rowBreaks>
  <colBreaks count="1" manualBreakCount="1"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Tišlová Marta</cp:lastModifiedBy>
  <cp:lastPrinted>2018-06-03T04:41:57Z</cp:lastPrinted>
  <dcterms:created xsi:type="dcterms:W3CDTF">2013-12-03T05:01:01Z</dcterms:created>
  <dcterms:modified xsi:type="dcterms:W3CDTF">2018-06-03T04:42:36Z</dcterms:modified>
  <cp:category/>
  <cp:version/>
  <cp:contentType/>
  <cp:contentStatus/>
</cp:coreProperties>
</file>