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60" windowWidth="15330" windowHeight="10920" activeTab="0"/>
  </bookViews>
  <sheets>
    <sheet name="List1" sheetId="1" r:id="rId1"/>
    <sheet name="List2" sheetId="2" r:id="rId2"/>
  </sheets>
  <definedNames>
    <definedName name="_xlnm.Print_Titles" localSheetId="0">'List1'!$A:$A,'List1'!$3:$3</definedName>
  </definedNames>
  <calcPr fullCalcOnLoad="1"/>
</workbook>
</file>

<file path=xl/sharedStrings.xml><?xml version="1.0" encoding="utf-8"?>
<sst xmlns="http://schemas.openxmlformats.org/spreadsheetml/2006/main" count="163" uniqueCount="159">
  <si>
    <t>602 prodej služeb</t>
  </si>
  <si>
    <t>604 prodej zboží</t>
  </si>
  <si>
    <t>644 úroky</t>
  </si>
  <si>
    <t>649 jiné ost.výnosy</t>
  </si>
  <si>
    <t>výnosy</t>
  </si>
  <si>
    <t>501 materiál</t>
  </si>
  <si>
    <t>521 mzd.nákl</t>
  </si>
  <si>
    <t>543 odpis nedobyt</t>
  </si>
  <si>
    <t>náklady</t>
  </si>
  <si>
    <t>zisk (+) ztráta (-)</t>
  </si>
  <si>
    <t>16 Noviny P 16</t>
  </si>
  <si>
    <t>3313 kino</t>
  </si>
  <si>
    <t>3314 knihovna</t>
  </si>
  <si>
    <t>3632 hrob.místa</t>
  </si>
  <si>
    <t>4522 rekr.zař</t>
  </si>
  <si>
    <t>43511 PS dovoz obědů</t>
  </si>
  <si>
    <t>61712 park.hod. prodej</t>
  </si>
  <si>
    <t>43512 PS fyzioter</t>
  </si>
  <si>
    <t>461 DPS</t>
  </si>
  <si>
    <t>1522 MMB</t>
  </si>
  <si>
    <t>čp. 1367</t>
  </si>
  <si>
    <t>603       pronájem</t>
  </si>
  <si>
    <t>662   úroky</t>
  </si>
  <si>
    <t>čp. 1517 NDPS</t>
  </si>
  <si>
    <t>čp. 1368</t>
  </si>
  <si>
    <t>98 pronajaté obj.</t>
  </si>
  <si>
    <t>čp. 1379</t>
  </si>
  <si>
    <t>9102010 Hav.posv</t>
  </si>
  <si>
    <t>246210 oprava na 602</t>
  </si>
  <si>
    <t>639 ost.daně</t>
  </si>
  <si>
    <t>1600 SON správa+ parkování</t>
  </si>
  <si>
    <t>170306 ZUŠ čp. 60</t>
  </si>
  <si>
    <t>21 čp. ubyt. (střecha)</t>
  </si>
  <si>
    <t>pozemek p.č. 2451/5</t>
  </si>
  <si>
    <t>pozemek p.č. 1674/2</t>
  </si>
  <si>
    <t>nájemné nebyty:</t>
  </si>
  <si>
    <t>nájemné pozemky:</t>
  </si>
  <si>
    <t>nájemné celkem:</t>
  </si>
  <si>
    <t>nájemné hrob.místa:</t>
  </si>
  <si>
    <t>741600 volný byt čp. 74</t>
  </si>
  <si>
    <t>BH nájemné byty:</t>
  </si>
  <si>
    <t>nebyt s org</t>
  </si>
  <si>
    <t>pozemky+věc.břem v náj.sml.</t>
  </si>
  <si>
    <t>nebyty v náj.sml.</t>
  </si>
  <si>
    <t>pozemky bez orgu</t>
  </si>
  <si>
    <t>nebyt celkem (rozdíl)</t>
  </si>
  <si>
    <t>15102011 Hav.posv</t>
  </si>
  <si>
    <t>pozemek p.č. 333</t>
  </si>
  <si>
    <t>pozemek p.č. 1626</t>
  </si>
  <si>
    <t>pozemek p.č. 1257/4</t>
  </si>
  <si>
    <t>264511 prodej automobilu</t>
  </si>
  <si>
    <t>nájemné PS jídlonosiče</t>
  </si>
  <si>
    <t>prodej poz.p.č. 2138</t>
  </si>
  <si>
    <t>prodej poz.p.č. 975</t>
  </si>
  <si>
    <t>čp. 1111 Fitline okna 2394/10</t>
  </si>
  <si>
    <t>prodej poz.p.č. 357/28</t>
  </si>
  <si>
    <t>pozemek p.č. 1721/15  1721/17</t>
  </si>
  <si>
    <t>133504 TV Net sml 273912</t>
  </si>
  <si>
    <t>15092012 Burčákobraní</t>
  </si>
  <si>
    <t>pozemek p.č. 1721/16; 1720/1721</t>
  </si>
  <si>
    <t>NZZ čp. 1100</t>
  </si>
  <si>
    <t xml:space="preserve"> </t>
  </si>
  <si>
    <t>524 zák.  soc.poj</t>
  </si>
  <si>
    <t>518    ost.služby</t>
  </si>
  <si>
    <t>výnosy byt.hosp dtto náklady</t>
  </si>
  <si>
    <t>čp. 1080,1081,1082</t>
  </si>
  <si>
    <t>140913 Burčákobraní</t>
  </si>
  <si>
    <t>121013 Havelské posvícení</t>
  </si>
  <si>
    <t>pozemek sml 296513</t>
  </si>
  <si>
    <t>pozemek sml 296613</t>
  </si>
  <si>
    <r>
      <t>641 penále 642</t>
    </r>
    <r>
      <rPr>
        <b/>
        <sz val="7"/>
        <rFont val="Arial CE"/>
        <family val="0"/>
      </rPr>
      <t xml:space="preserve"> jiné pok.a pen</t>
    </r>
  </si>
  <si>
    <r>
      <t xml:space="preserve">prodej  647 </t>
    </r>
    <r>
      <rPr>
        <b/>
        <sz val="7"/>
        <rFont val="Arial CE"/>
        <family val="0"/>
      </rPr>
      <t xml:space="preserve">pozemků </t>
    </r>
    <r>
      <rPr>
        <b/>
        <sz val="8"/>
        <rFont val="Arial CE"/>
        <family val="0"/>
      </rPr>
      <t>646</t>
    </r>
    <r>
      <rPr>
        <b/>
        <sz val="7"/>
        <rFont val="Arial CE"/>
        <family val="0"/>
      </rPr>
      <t xml:space="preserve"> </t>
    </r>
    <r>
      <rPr>
        <b/>
        <sz val="6"/>
        <rFont val="Arial CE"/>
        <family val="0"/>
      </rPr>
      <t>651</t>
    </r>
    <r>
      <rPr>
        <b/>
        <sz val="8"/>
        <rFont val="Arial CE"/>
        <family val="0"/>
      </rPr>
      <t xml:space="preserve"> </t>
    </r>
    <r>
      <rPr>
        <b/>
        <sz val="7"/>
        <rFont val="Arial CE"/>
        <family val="0"/>
      </rPr>
      <t>NIM a HIM</t>
    </r>
  </si>
  <si>
    <r>
      <t xml:space="preserve">503 ost. </t>
    </r>
    <r>
      <rPr>
        <b/>
        <sz val="7"/>
        <rFont val="Arial CE"/>
        <family val="0"/>
      </rPr>
      <t>neskl.dod</t>
    </r>
  </si>
  <si>
    <r>
      <t xml:space="preserve"> 511 </t>
    </r>
    <r>
      <rPr>
        <sz val="7"/>
        <rFont val="Arial CE"/>
        <family val="0"/>
      </rPr>
      <t xml:space="preserve">opr. a údržba                            </t>
    </r>
    <r>
      <rPr>
        <b/>
        <sz val="8"/>
        <rFont val="Arial CE"/>
        <family val="0"/>
      </rPr>
      <t>512</t>
    </r>
    <r>
      <rPr>
        <sz val="7"/>
        <rFont val="Arial CE"/>
        <family val="0"/>
      </rPr>
      <t xml:space="preserve"> cestovné</t>
    </r>
  </si>
  <si>
    <r>
      <t xml:space="preserve">541 jiné pok a pen 542 pok.a pen.     </t>
    </r>
    <r>
      <rPr>
        <b/>
        <sz val="8"/>
        <rFont val="Arial CE"/>
        <family val="0"/>
      </rPr>
      <t>549</t>
    </r>
    <r>
      <rPr>
        <b/>
        <sz val="7"/>
        <rFont val="Arial CE"/>
        <family val="0"/>
      </rPr>
      <t xml:space="preserve"> jiné ost.nákl</t>
    </r>
  </si>
  <si>
    <r>
      <t>553/554</t>
    </r>
    <r>
      <rPr>
        <b/>
        <sz val="7"/>
        <rFont val="Arial CE"/>
        <family val="0"/>
      </rPr>
      <t xml:space="preserve"> zůst. cena prod</t>
    </r>
  </si>
  <si>
    <r>
      <t>556 opr.pol.</t>
    </r>
    <r>
      <rPr>
        <b/>
        <sz val="6"/>
        <rFont val="Arial CE"/>
        <family val="0"/>
      </rPr>
      <t xml:space="preserve"> 569 ost.fin.nákl  557 nákl.z pohl</t>
    </r>
  </si>
  <si>
    <t>100 pozemek, 1403 pozemek</t>
  </si>
  <si>
    <t>čp. 1078,1079</t>
  </si>
  <si>
    <t>pozemek sml 3116/14; 3182/14</t>
  </si>
  <si>
    <t>43513 PS pronájem termonádob</t>
  </si>
  <si>
    <t>23  kniha o Radotínu prod (31+68+57+2014/24 ks)</t>
  </si>
  <si>
    <t>pozemek sml. 3257/2014</t>
  </si>
  <si>
    <t>pozemek sml. 3445/2014</t>
  </si>
  <si>
    <t>pozemek 1556/3; 3103/22</t>
  </si>
  <si>
    <t>sml 3427/14 5/2015</t>
  </si>
  <si>
    <t>sml 3491/15 5/2015</t>
  </si>
  <si>
    <t>18 FVE odvod FŽP</t>
  </si>
  <si>
    <t>pozemky pod G I.vlna</t>
  </si>
  <si>
    <t>pozemky pod G II.vlna</t>
  </si>
  <si>
    <t>sml 3492/15 Urban</t>
  </si>
  <si>
    <t>2014 vklad do KN</t>
  </si>
  <si>
    <r>
      <t>532 DzN 538</t>
    </r>
    <r>
      <rPr>
        <sz val="7"/>
        <rFont val="Arial CE"/>
        <family val="0"/>
      </rPr>
      <t xml:space="preserve"> daně a popl </t>
    </r>
    <r>
      <rPr>
        <sz val="8"/>
        <rFont val="Arial CE"/>
        <family val="0"/>
      </rPr>
      <t>558</t>
    </r>
    <r>
      <rPr>
        <sz val="7"/>
        <rFont val="Arial CE"/>
        <family val="0"/>
      </rPr>
      <t xml:space="preserve"> RZ Chrob</t>
    </r>
  </si>
  <si>
    <t>sml 3464/2015 ?? 3463/15 3479/15</t>
  </si>
  <si>
    <t>2 2016 BH 2/2016</t>
  </si>
  <si>
    <t>3649/15 VCES Prop</t>
  </si>
  <si>
    <t>3676/15 ??</t>
  </si>
  <si>
    <t>3677/15 ??</t>
  </si>
  <si>
    <t>3727/16 ??</t>
  </si>
  <si>
    <t>3 2016 BH 3/2016</t>
  </si>
  <si>
    <t xml:space="preserve"> 3679/15:</t>
  </si>
  <si>
    <t>5 2016 BH 5/2016</t>
  </si>
  <si>
    <t xml:space="preserve"> 3734/16:</t>
  </si>
  <si>
    <r>
      <t xml:space="preserve">BH </t>
    </r>
    <r>
      <rPr>
        <b/>
        <sz val="7"/>
        <rFont val="Arial CE"/>
        <family val="2"/>
      </rPr>
      <t>nájemné nebyty</t>
    </r>
    <r>
      <rPr>
        <b/>
        <sz val="8"/>
        <rFont val="Arial CE"/>
        <family val="2"/>
      </rPr>
      <t>:</t>
    </r>
  </si>
  <si>
    <r>
      <t>nájemné věcná břem</t>
    </r>
    <r>
      <rPr>
        <b/>
        <sz val="6"/>
        <rFont val="Arial CE"/>
        <family val="0"/>
      </rPr>
      <t xml:space="preserve"> (převod na SU 602)</t>
    </r>
    <r>
      <rPr>
        <b/>
        <sz val="7"/>
        <rFont val="Arial CE"/>
        <family val="2"/>
      </rPr>
      <t>:</t>
    </r>
  </si>
  <si>
    <t>pozemek sml 3115/2014; 6/ 3212/14 12/3365/14</t>
  </si>
  <si>
    <t>pozemek sml 296513 nákl org 406 3365/14</t>
  </si>
  <si>
    <t>6 2016 BH 6/2016</t>
  </si>
  <si>
    <r>
      <t xml:space="preserve">xx </t>
    </r>
    <r>
      <rPr>
        <sz val="8"/>
        <rFont val="Arial CE"/>
        <family val="0"/>
      </rPr>
      <t>Náklady: 3/ zhodnocení 2013</t>
    </r>
  </si>
  <si>
    <r>
      <t>xx org 130 (</t>
    </r>
    <r>
      <rPr>
        <sz val="8"/>
        <rFont val="Arial CE"/>
        <family val="0"/>
      </rPr>
      <t>070)</t>
    </r>
    <r>
      <rPr>
        <sz val="8"/>
        <rFont val="Arial CE"/>
        <family val="2"/>
      </rPr>
      <t xml:space="preserve"> SON čp. 1600</t>
    </r>
  </si>
  <si>
    <r>
      <t>338 trafika/WC provoz</t>
    </r>
    <r>
      <rPr>
        <sz val="8"/>
        <rFont val="Arial CE"/>
        <family val="0"/>
      </rPr>
      <t xml:space="preserve"> sml 2515/11</t>
    </r>
  </si>
  <si>
    <r>
      <t>čp. 5,61,62,64,74,75,954,</t>
    </r>
    <r>
      <rPr>
        <sz val="8"/>
        <rFont val="Arial CE"/>
        <family val="0"/>
      </rPr>
      <t>21</t>
    </r>
  </si>
  <si>
    <r>
      <t xml:space="preserve">čp. </t>
    </r>
    <r>
      <rPr>
        <sz val="8"/>
        <rFont val="Arial"/>
        <family val="2"/>
      </rPr>
      <t>1065,1066,</t>
    </r>
    <r>
      <rPr>
        <sz val="8"/>
        <rFont val="Arial"/>
        <family val="2"/>
      </rPr>
      <t xml:space="preserve">1067,1068  </t>
    </r>
    <r>
      <rPr>
        <sz val="8"/>
        <rFont val="Arial"/>
        <family val="2"/>
      </rPr>
      <t>1065/100.000</t>
    </r>
  </si>
  <si>
    <r>
      <t>čp. 1069,1070,</t>
    </r>
    <r>
      <rPr>
        <sz val="8"/>
        <rFont val="Arial CE"/>
        <family val="0"/>
      </rPr>
      <t>1071,</t>
    </r>
    <r>
      <rPr>
        <strike/>
        <sz val="8"/>
        <rFont val="Arial CE"/>
        <family val="0"/>
      </rPr>
      <t>72-73</t>
    </r>
  </si>
  <si>
    <r>
      <t xml:space="preserve">čp </t>
    </r>
    <r>
      <rPr>
        <sz val="8"/>
        <rFont val="Arial CE"/>
        <family val="0"/>
      </rPr>
      <t>1070 1071,1074,</t>
    </r>
    <r>
      <rPr>
        <sz val="8"/>
        <rFont val="Arial CE"/>
        <family val="2"/>
      </rPr>
      <t>1075</t>
    </r>
  </si>
  <si>
    <r>
      <t>4520 DS</t>
    </r>
    <r>
      <rPr>
        <sz val="7"/>
        <rFont val="Arial CE"/>
        <family val="0"/>
      </rPr>
      <t xml:space="preserve"> nebyt </t>
    </r>
    <r>
      <rPr>
        <sz val="8"/>
        <rFont val="Arial CE"/>
        <family val="0"/>
      </rPr>
      <t>G org 1517</t>
    </r>
  </si>
  <si>
    <r>
      <t>prodej poz.p.č. 2610/4</t>
    </r>
    <r>
      <rPr>
        <sz val="7"/>
        <rFont val="Arial CE"/>
        <family val="0"/>
      </rPr>
      <t xml:space="preserve"> </t>
    </r>
    <r>
      <rPr>
        <sz val="8"/>
        <rFont val="Arial CE"/>
        <family val="0"/>
      </rPr>
      <t>Kauckých</t>
    </r>
  </si>
  <si>
    <r>
      <t xml:space="preserve">3311 </t>
    </r>
    <r>
      <rPr>
        <sz val="8"/>
        <rFont val="Arial CE"/>
        <family val="0"/>
      </rPr>
      <t>? MŠ Sídliště</t>
    </r>
  </si>
  <si>
    <r>
      <t xml:space="preserve">3319 kult.stř </t>
    </r>
    <r>
      <rPr>
        <sz val="8"/>
        <rFont val="Arial CE"/>
        <family val="0"/>
      </rPr>
      <t>čp. 44 vč RR 18.449,36</t>
    </r>
  </si>
  <si>
    <r>
      <t>5163 bank.popl</t>
    </r>
    <r>
      <rPr>
        <sz val="8"/>
        <rFont val="Arial CE"/>
        <family val="0"/>
      </rPr>
      <t xml:space="preserve"> nákl: 569 !!</t>
    </r>
  </si>
  <si>
    <r>
      <t>5164 bank.popl BH</t>
    </r>
    <r>
      <rPr>
        <sz val="8"/>
        <rFont val="Arial CE"/>
        <family val="0"/>
      </rPr>
      <t xml:space="preserve"> nákl 5169 !!</t>
    </r>
  </si>
  <si>
    <r>
      <t xml:space="preserve">08/ </t>
    </r>
    <r>
      <rPr>
        <sz val="8"/>
        <rFont val="Arial"/>
        <family val="2"/>
      </rPr>
      <t>sml 3571/15 3572/15</t>
    </r>
  </si>
  <si>
    <r>
      <t xml:space="preserve">12/ </t>
    </r>
    <r>
      <rPr>
        <sz val="8"/>
        <rFont val="Arial"/>
        <family val="2"/>
      </rPr>
      <t>sml 3440/14; 3467/15</t>
    </r>
  </si>
  <si>
    <r>
      <t>61715 TV Net</t>
    </r>
    <r>
      <rPr>
        <sz val="7"/>
        <rFont val="Arial CE"/>
        <family val="2"/>
      </rPr>
      <t xml:space="preserve"> vč.oprav tras</t>
    </r>
  </si>
  <si>
    <r>
      <t xml:space="preserve">110819 </t>
    </r>
    <r>
      <rPr>
        <sz val="7"/>
        <rFont val="Arial CE"/>
        <family val="2"/>
      </rPr>
      <t>parkoviště NZZ</t>
    </r>
  </si>
  <si>
    <r>
      <t>2285,2286,2344/10</t>
    </r>
    <r>
      <rPr>
        <sz val="7"/>
        <rFont val="Arial CE"/>
        <family val="0"/>
      </rPr>
      <t xml:space="preserve"> tísň.vol</t>
    </r>
  </si>
  <si>
    <r>
      <t>233410</t>
    </r>
    <r>
      <rPr>
        <sz val="6"/>
        <rFont val="Arial CE"/>
        <family val="0"/>
      </rPr>
      <t xml:space="preserve"> (10) </t>
    </r>
    <r>
      <rPr>
        <sz val="8"/>
        <rFont val="Arial CE"/>
        <family val="2"/>
      </rPr>
      <t>239010</t>
    </r>
    <r>
      <rPr>
        <sz val="6"/>
        <rFont val="Arial CE"/>
        <family val="0"/>
      </rPr>
      <t xml:space="preserve"> (30 JSDH) </t>
    </r>
    <r>
      <rPr>
        <sz val="7"/>
        <rFont val="Arial CE"/>
        <family val="0"/>
      </rPr>
      <t>prodej vozu</t>
    </r>
  </si>
  <si>
    <r>
      <t xml:space="preserve">528529 </t>
    </r>
    <r>
      <rPr>
        <sz val="7"/>
        <rFont val="Arial"/>
        <family val="2"/>
      </rPr>
      <t>pozemky směna Červených</t>
    </r>
  </si>
  <si>
    <r>
      <t>237110</t>
    </r>
    <r>
      <rPr>
        <sz val="7"/>
        <rFont val="Arial"/>
        <family val="2"/>
      </rPr>
      <t xml:space="preserve"> ČMC reklama</t>
    </r>
  </si>
  <si>
    <t>82016 BH 8/2016</t>
  </si>
  <si>
    <t xml:space="preserve"> 3819/16 Šlehofer: 15.092.154,79</t>
  </si>
  <si>
    <t>4-6 2016 BH 4-6/2016</t>
  </si>
  <si>
    <t>92016 BH 9/2016</t>
  </si>
  <si>
    <r>
      <t xml:space="preserve"> 3820/16</t>
    </r>
    <r>
      <rPr>
        <sz val="7"/>
        <rFont val="Arial CE"/>
        <family val="2"/>
      </rPr>
      <t xml:space="preserve"> ? 390.000;</t>
    </r>
    <r>
      <rPr>
        <sz val="8"/>
        <rFont val="Arial CE"/>
        <family val="2"/>
      </rPr>
      <t xml:space="preserve"> 3821/16</t>
    </r>
    <r>
      <rPr>
        <sz val="7"/>
        <rFont val="Arial CE"/>
        <family val="2"/>
      </rPr>
      <t xml:space="preserve"> Novotný 25.850</t>
    </r>
  </si>
  <si>
    <r>
      <t xml:space="preserve"> 3817/16</t>
    </r>
    <r>
      <rPr>
        <sz val="7"/>
        <rFont val="Arial CE"/>
        <family val="2"/>
      </rPr>
      <t xml:space="preserve"> IBS Rokal; 3800/16 Šleh; 3823/16 Poup </t>
    </r>
  </si>
  <si>
    <r>
      <t xml:space="preserve"> 3818/16 Dvorská </t>
    </r>
    <r>
      <rPr>
        <sz val="8"/>
        <rFont val="Arial CE"/>
        <family val="0"/>
      </rPr>
      <t>+3822,3823,3869</t>
    </r>
  </si>
  <si>
    <r>
      <t xml:space="preserve">pro prodej </t>
    </r>
    <r>
      <rPr>
        <sz val="7"/>
        <rFont val="Arial CE"/>
        <family val="0"/>
      </rPr>
      <t>1099,1717,1718,2167,2368,2524,3103, 405,963,1706,1718A,1863,2535,</t>
    </r>
    <r>
      <rPr>
        <sz val="8"/>
        <rFont val="Arial CE"/>
        <family val="0"/>
      </rPr>
      <t>1108,1658,2643</t>
    </r>
  </si>
  <si>
    <t>čp. 1251, čp. 1367, 1368</t>
  </si>
  <si>
    <t>7-9 2016 BH 7-9/2016</t>
  </si>
  <si>
    <t>11 2016 BH 11/2016</t>
  </si>
  <si>
    <t>poz.G 387016,116,216</t>
  </si>
  <si>
    <t>12 2016 BH 12/2016</t>
  </si>
  <si>
    <t>10-11 2016 BH 10-11/2016</t>
  </si>
  <si>
    <t>100217 ples</t>
  </si>
  <si>
    <r>
      <t xml:space="preserve">čp. 1061,1062, 1063 </t>
    </r>
    <r>
      <rPr>
        <sz val="7"/>
        <rFont val="Arial"/>
        <family val="2"/>
      </rPr>
      <t>1061-1082: rekuper- org 814</t>
    </r>
  </si>
  <si>
    <t>čp. 102 a čp. 1112   ZUŠ čp 80</t>
  </si>
  <si>
    <r>
      <t xml:space="preserve">6171 </t>
    </r>
    <r>
      <rPr>
        <sz val="8"/>
        <rFont val="Arial CE"/>
        <family val="0"/>
      </rPr>
      <t>výnosy</t>
    </r>
    <r>
      <rPr>
        <sz val="8"/>
        <rFont val="Arial CE"/>
        <family val="2"/>
      </rPr>
      <t xml:space="preserve">: plakát, rozhlas; </t>
    </r>
    <r>
      <rPr>
        <sz val="8"/>
        <rFont val="Arial CE"/>
        <family val="0"/>
      </rPr>
      <t>náklady</t>
    </r>
    <r>
      <rPr>
        <sz val="8"/>
        <rFont val="Arial CE"/>
        <family val="2"/>
      </rPr>
      <t xml:space="preserve">: výkon agendy související s majetkem MČ </t>
    </r>
    <r>
      <rPr>
        <sz val="8"/>
        <rFont val="Arial CE"/>
        <family val="0"/>
      </rPr>
      <t>5167 školení</t>
    </r>
  </si>
  <si>
    <r>
      <rPr>
        <b/>
        <sz val="8"/>
        <rFont val="Arial CE"/>
        <family val="0"/>
      </rPr>
      <t>502</t>
    </r>
    <r>
      <rPr>
        <sz val="8"/>
        <rFont val="Arial CE"/>
        <family val="0"/>
      </rPr>
      <t xml:space="preserve"> energie </t>
    </r>
    <r>
      <rPr>
        <b/>
        <sz val="8"/>
        <rFont val="Arial CE"/>
        <family val="0"/>
      </rPr>
      <t>504</t>
    </r>
    <r>
      <rPr>
        <sz val="7"/>
        <rFont val="Arial CE"/>
        <family val="0"/>
      </rPr>
      <t xml:space="preserve"> prod.zboží</t>
    </r>
  </si>
  <si>
    <t>f</t>
  </si>
  <si>
    <r>
      <t xml:space="preserve">sml </t>
    </r>
    <r>
      <rPr>
        <sz val="7"/>
        <rFont val="Arial CE"/>
        <family val="0"/>
      </rPr>
      <t>3873</t>
    </r>
    <r>
      <rPr>
        <sz val="6"/>
        <rFont val="Arial CE"/>
        <family val="0"/>
      </rPr>
      <t>/16;</t>
    </r>
    <r>
      <rPr>
        <sz val="7"/>
        <rFont val="Arial CE"/>
        <family val="0"/>
      </rPr>
      <t>3874</t>
    </r>
    <r>
      <rPr>
        <sz val="6"/>
        <rFont val="Arial CE"/>
        <family val="0"/>
      </rPr>
      <t>/16;</t>
    </r>
    <r>
      <rPr>
        <sz val="7"/>
        <rFont val="Arial CE"/>
        <family val="0"/>
      </rPr>
      <t>3929</t>
    </r>
    <r>
      <rPr>
        <sz val="6"/>
        <rFont val="Arial CE"/>
        <family val="0"/>
      </rPr>
      <t>/16;</t>
    </r>
    <r>
      <rPr>
        <sz val="7"/>
        <rFont val="Arial CE"/>
        <family val="0"/>
      </rPr>
      <t>3937</t>
    </r>
    <r>
      <rPr>
        <sz val="6"/>
        <rFont val="Arial CE"/>
        <family val="0"/>
      </rPr>
      <t>/16;</t>
    </r>
    <r>
      <rPr>
        <sz val="7"/>
        <rFont val="Arial CE"/>
        <family val="0"/>
      </rPr>
      <t>3938</t>
    </r>
    <r>
      <rPr>
        <sz val="6"/>
        <rFont val="Arial CE"/>
        <family val="0"/>
      </rPr>
      <t>/16;</t>
    </r>
    <r>
      <rPr>
        <sz val="7"/>
        <rFont val="Arial CE"/>
        <family val="0"/>
      </rPr>
      <t>3939/16; 3940</t>
    </r>
    <r>
      <rPr>
        <sz val="6"/>
        <rFont val="Arial CE"/>
        <family val="0"/>
      </rPr>
      <t>/16;</t>
    </r>
    <r>
      <rPr>
        <sz val="7"/>
        <rFont val="Arial CE"/>
        <family val="0"/>
      </rPr>
      <t>3969</t>
    </r>
    <r>
      <rPr>
        <sz val="6"/>
        <rFont val="Arial CE"/>
        <family val="0"/>
      </rPr>
      <t>/17;</t>
    </r>
    <r>
      <rPr>
        <sz val="7"/>
        <rFont val="Arial CE"/>
        <family val="0"/>
      </rPr>
      <t>3930</t>
    </r>
    <r>
      <rPr>
        <sz val="6"/>
        <rFont val="Arial CE"/>
        <family val="0"/>
      </rPr>
      <t>/16;</t>
    </r>
    <r>
      <rPr>
        <sz val="7"/>
        <rFont val="Arial CE"/>
        <family val="0"/>
      </rPr>
      <t>3970</t>
    </r>
    <r>
      <rPr>
        <sz val="6"/>
        <rFont val="Arial CE"/>
        <family val="0"/>
      </rPr>
      <t>/17;</t>
    </r>
    <r>
      <rPr>
        <sz val="7"/>
        <rFont val="Arial CE"/>
        <family val="0"/>
      </rPr>
      <t>3941</t>
    </r>
    <r>
      <rPr>
        <sz val="6"/>
        <rFont val="Arial CE"/>
        <family val="0"/>
      </rPr>
      <t>/16;</t>
    </r>
    <r>
      <rPr>
        <sz val="7"/>
        <rFont val="Arial CE"/>
        <family val="0"/>
      </rPr>
      <t>4066</t>
    </r>
    <r>
      <rPr>
        <sz val="6"/>
        <rFont val="Arial CE"/>
        <family val="0"/>
      </rPr>
      <t>/17;</t>
    </r>
    <r>
      <rPr>
        <sz val="7"/>
        <rFont val="Arial CE"/>
        <family val="0"/>
      </rPr>
      <t>4067</t>
    </r>
    <r>
      <rPr>
        <sz val="6"/>
        <rFont val="Arial CE"/>
        <family val="0"/>
      </rPr>
      <t>/17;4102/17; 3999/17;4112/17;4114/17; 4115/17</t>
    </r>
  </si>
  <si>
    <r>
      <t xml:space="preserve">pro prodeje </t>
    </r>
    <r>
      <rPr>
        <sz val="7"/>
        <rFont val="Arial CE"/>
        <family val="0"/>
      </rPr>
      <t>526/1;1030/1;2286/26 ÚPZS;2604/1; 2638/1;</t>
    </r>
    <r>
      <rPr>
        <sz val="8"/>
        <rFont val="Arial CE"/>
        <family val="0"/>
      </rPr>
      <t xml:space="preserve"> 1892; 2286/1,25; 2348; p.č. 3332638</t>
    </r>
  </si>
  <si>
    <r>
      <t>pro prodej p.č.17/6;</t>
    </r>
    <r>
      <rPr>
        <sz val="7"/>
        <rFont val="Arial CE"/>
        <family val="2"/>
      </rPr>
      <t>2640;LIAZ AT5044;2286/5; 2535/9;2286/26;1595/1;963/11;</t>
    </r>
    <r>
      <rPr>
        <sz val="8"/>
        <rFont val="Arial CE"/>
        <family val="2"/>
      </rPr>
      <t xml:space="preserve">1598;1138; </t>
    </r>
    <r>
      <rPr>
        <sz val="8"/>
        <rFont val="Arial CE"/>
        <family val="0"/>
      </rPr>
      <t>p.č. 1060; Kosoř 282</t>
    </r>
  </si>
  <si>
    <t>603 náj.sml; rekl COMES 50 LinkCity 50+20</t>
  </si>
  <si>
    <r>
      <t>602</t>
    </r>
    <r>
      <rPr>
        <sz val="6"/>
        <rFont val="Arial CE"/>
        <family val="0"/>
      </rPr>
      <t xml:space="preserve"> věc.břem ;</t>
    </r>
    <r>
      <rPr>
        <b/>
        <sz val="6"/>
        <rFont val="Arial CE"/>
        <family val="0"/>
      </rPr>
      <t>603</t>
    </r>
    <r>
      <rPr>
        <sz val="6"/>
        <rFont val="Arial CE"/>
        <family val="0"/>
      </rPr>
      <t xml:space="preserve"> náj.sml; rekl </t>
    </r>
    <r>
      <rPr>
        <b/>
        <sz val="6"/>
        <rFont val="Arial CE"/>
        <family val="0"/>
      </rPr>
      <t>603</t>
    </r>
    <r>
      <rPr>
        <sz val="6"/>
        <rFont val="Arial CE"/>
        <family val="0"/>
      </rPr>
      <t xml:space="preserve"> opr.pol</t>
    </r>
    <r>
      <rPr>
        <sz val="5"/>
        <rFont val="Arial CE"/>
        <family val="0"/>
      </rPr>
      <t xml:space="preserve"> 168+555+2.293,60+40+98+165 +900+27.000 </t>
    </r>
    <r>
      <rPr>
        <sz val="7"/>
        <rFont val="Arial CE"/>
        <family val="0"/>
      </rPr>
      <t>649/21000  bonus 3,3mil 141510</t>
    </r>
  </si>
  <si>
    <t>L e d e n - p r o s i n e c   2 0 1 7   v ý n o s y</t>
  </si>
  <si>
    <t>L e d e n - p r o s i n e c    2 0 1 7   n á k l a d y</t>
  </si>
  <si>
    <t>předpis DPPO</t>
  </si>
  <si>
    <t>1-12 2017  BH 1-12/2017</t>
  </si>
  <si>
    <r>
      <t xml:space="preserve">8/ </t>
    </r>
    <r>
      <rPr>
        <sz val="8"/>
        <rFont val="Arial CE"/>
        <family val="0"/>
      </rPr>
      <t xml:space="preserve">výnosy: </t>
    </r>
    <r>
      <rPr>
        <sz val="8"/>
        <rFont val="Arial CE"/>
        <family val="2"/>
      </rPr>
      <t xml:space="preserve">406417 Střihavka; 406517 Polák;   </t>
    </r>
    <r>
      <rPr>
        <sz val="8"/>
        <rFont val="Arial CE"/>
        <family val="0"/>
      </rPr>
      <t>náklady</t>
    </r>
    <r>
      <rPr>
        <sz val="8"/>
        <rFont val="Arial CE"/>
        <family val="2"/>
      </rPr>
      <t>: pro prod. 100/4,226/20, 155/3;2286/3x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</si>
</sst>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0000000"/>
    <numFmt numFmtId="169" formatCode="0.000000"/>
    <numFmt numFmtId="170" formatCode="[$¥€-2]\ #\ ##,000_);[Red]\([$€-2]\ #\ ##,000\)"/>
  </numFmts>
  <fonts count="56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6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strike/>
      <sz val="8"/>
      <name val="Arial CE"/>
      <family val="0"/>
    </font>
    <font>
      <b/>
      <sz val="8"/>
      <name val="Arial"/>
      <family val="2"/>
    </font>
    <font>
      <sz val="6"/>
      <name val="Arial CE"/>
      <family val="0"/>
    </font>
    <font>
      <sz val="5"/>
      <name val="Arial CE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34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" fillId="35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 wrapText="1"/>
    </xf>
    <xf numFmtId="4" fontId="2" fillId="37" borderId="0" xfId="0" applyNumberFormat="1" applyFont="1" applyFill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top" wrapText="1"/>
    </xf>
    <xf numFmtId="4" fontId="13" fillId="0" borderId="0" xfId="0" applyNumberFormat="1" applyFont="1" applyFill="1" applyAlignment="1">
      <alignment horizontal="center" wrapText="1"/>
    </xf>
    <xf numFmtId="4" fontId="7" fillId="38" borderId="0" xfId="0" applyNumberFormat="1" applyFont="1" applyFill="1" applyAlignment="1">
      <alignment horizontal="center" wrapText="1"/>
    </xf>
    <xf numFmtId="0" fontId="7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center" wrapText="1"/>
    </xf>
    <xf numFmtId="4" fontId="16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38" borderId="0" xfId="0" applyNumberFormat="1" applyFont="1" applyFill="1" applyAlignment="1">
      <alignment/>
    </xf>
    <xf numFmtId="4" fontId="3" fillId="38" borderId="0" xfId="0" applyNumberFormat="1" applyFont="1" applyFill="1" applyAlignment="1">
      <alignment/>
    </xf>
    <xf numFmtId="4" fontId="3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3" fontId="0" fillId="0" borderId="0" xfId="34" applyFont="1" applyFill="1" applyAlignment="1">
      <alignment/>
    </xf>
    <xf numFmtId="4" fontId="10" fillId="0" borderId="0" xfId="0" applyNumberFormat="1" applyFont="1" applyFill="1" applyAlignment="1">
      <alignment/>
    </xf>
    <xf numFmtId="0" fontId="8" fillId="41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21" fillId="38" borderId="0" xfId="0" applyNumberFormat="1" applyFont="1" applyFill="1" applyAlignment="1">
      <alignment horizontal="center"/>
    </xf>
    <xf numFmtId="4" fontId="7" fillId="42" borderId="0" xfId="0" applyNumberFormat="1" applyFont="1" applyFill="1" applyAlignment="1">
      <alignment/>
    </xf>
    <xf numFmtId="4" fontId="2" fillId="2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2" fillId="4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6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12.75"/>
  <cols>
    <col min="1" max="1" width="32.7109375" style="13" customWidth="1"/>
    <col min="2" max="2" width="0" style="3" hidden="1" customWidth="1"/>
    <col min="3" max="3" width="12.421875" style="24" customWidth="1"/>
    <col min="4" max="4" width="13.140625" style="24" hidden="1" customWidth="1"/>
    <col min="5" max="5" width="13.57421875" style="5" customWidth="1"/>
    <col min="6" max="6" width="12.28125" style="24" customWidth="1"/>
    <col min="7" max="7" width="7.8515625" style="24" hidden="1" customWidth="1"/>
    <col min="8" max="8" width="9.8515625" style="24" customWidth="1"/>
    <col min="9" max="9" width="0" style="24" hidden="1" customWidth="1"/>
    <col min="10" max="10" width="12.421875" style="24" customWidth="1"/>
    <col min="11" max="11" width="13.57421875" style="24" customWidth="1"/>
    <col min="12" max="12" width="8.7109375" style="24" customWidth="1"/>
    <col min="13" max="13" width="13.57421875" style="24" customWidth="1"/>
    <col min="14" max="14" width="14.8515625" style="44" customWidth="1"/>
    <col min="15" max="15" width="12.00390625" style="44" customWidth="1"/>
    <col min="16" max="17" width="14.8515625" style="18" hidden="1" customWidth="1"/>
    <col min="18" max="18" width="10.8515625" style="24" customWidth="1"/>
    <col min="19" max="19" width="2.8515625" style="24" hidden="1" customWidth="1"/>
    <col min="20" max="20" width="15.57421875" style="24" bestFit="1" customWidth="1"/>
    <col min="21" max="21" width="7.00390625" style="24" hidden="1" customWidth="1"/>
    <col min="22" max="22" width="12.140625" style="5" customWidth="1"/>
    <col min="23" max="23" width="11.57421875" style="24" hidden="1" customWidth="1"/>
    <col min="24" max="24" width="12.140625" style="5" customWidth="1"/>
    <col min="25" max="25" width="12.421875" style="24" customWidth="1"/>
    <col min="26" max="26" width="12.57421875" style="24" customWidth="1"/>
    <col min="27" max="27" width="7.8515625" style="24" customWidth="1"/>
    <col min="28" max="28" width="9.8515625" style="24" customWidth="1"/>
    <col min="29" max="29" width="8.8515625" style="24" hidden="1" customWidth="1"/>
    <col min="30" max="30" width="11.8515625" style="24" customWidth="1"/>
    <col min="31" max="31" width="0.13671875" style="24" hidden="1" customWidth="1"/>
    <col min="32" max="32" width="11.8515625" style="24" customWidth="1"/>
    <col min="33" max="33" width="13.57421875" style="3" customWidth="1"/>
    <col min="34" max="34" width="13.8515625" style="44" customWidth="1"/>
    <col min="35" max="16384" width="9.140625" style="3" customWidth="1"/>
  </cols>
  <sheetData>
    <row r="1" spans="3:28" ht="1.5" customHeight="1">
      <c r="C1" s="5"/>
      <c r="E1" s="9"/>
      <c r="F1" s="9"/>
      <c r="K1" s="9"/>
      <c r="L1" s="9"/>
      <c r="M1" s="9"/>
      <c r="R1" s="5"/>
      <c r="S1" s="5"/>
      <c r="T1" s="5"/>
      <c r="U1" s="5"/>
      <c r="W1" s="5"/>
      <c r="X1" s="5" t="s">
        <v>148</v>
      </c>
      <c r="Y1" s="5"/>
      <c r="Z1" s="5"/>
      <c r="AA1" s="5"/>
      <c r="AB1" s="5"/>
    </row>
    <row r="2" spans="1:34" ht="12.75">
      <c r="A2" s="24"/>
      <c r="C2" s="81" t="s">
        <v>154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77">
        <f>SUM(M5,M12:M30,M46:M57)+12/12*M100*0+122017/122017*649/649*(-J5*0+5075632.74)</f>
        <v>18267276.240000002</v>
      </c>
      <c r="O2" s="9">
        <f>AG4+AG5</f>
        <v>1021783.0700000001</v>
      </c>
      <c r="P2" s="26"/>
      <c r="Q2" s="26"/>
      <c r="R2" s="81" t="s">
        <v>155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67">
        <f>SUM(AG12:AG30,AG46:AG57)</f>
        <v>5171197.92</v>
      </c>
    </row>
    <row r="3" spans="1:34" ht="33" customHeight="1">
      <c r="A3" s="24"/>
      <c r="C3" s="33" t="s">
        <v>0</v>
      </c>
      <c r="D3" s="33"/>
      <c r="E3" s="34" t="s">
        <v>21</v>
      </c>
      <c r="F3" s="33" t="s">
        <v>1</v>
      </c>
      <c r="G3" s="34" t="s">
        <v>29</v>
      </c>
      <c r="H3" s="33" t="s">
        <v>70</v>
      </c>
      <c r="I3" s="33" t="s">
        <v>2</v>
      </c>
      <c r="J3" s="33" t="s">
        <v>3</v>
      </c>
      <c r="K3" s="33" t="s">
        <v>71</v>
      </c>
      <c r="L3" s="33" t="s">
        <v>22</v>
      </c>
      <c r="M3" s="31" t="s">
        <v>4</v>
      </c>
      <c r="N3" s="37" t="s">
        <v>64</v>
      </c>
      <c r="O3" s="38" t="s">
        <v>61</v>
      </c>
      <c r="P3" s="16"/>
      <c r="Q3" s="16"/>
      <c r="R3" s="34" t="s">
        <v>5</v>
      </c>
      <c r="S3" s="34"/>
      <c r="T3" s="39" t="s">
        <v>147</v>
      </c>
      <c r="U3" s="34" t="s">
        <v>72</v>
      </c>
      <c r="V3" s="35" t="s">
        <v>73</v>
      </c>
      <c r="W3" s="35"/>
      <c r="X3" s="34" t="s">
        <v>63</v>
      </c>
      <c r="Y3" s="34" t="s">
        <v>6</v>
      </c>
      <c r="Z3" s="34" t="s">
        <v>62</v>
      </c>
      <c r="AA3" s="34"/>
      <c r="AB3" s="39" t="s">
        <v>92</v>
      </c>
      <c r="AC3" s="34" t="s">
        <v>7</v>
      </c>
      <c r="AD3" s="36" t="s">
        <v>74</v>
      </c>
      <c r="AE3" s="34" t="s">
        <v>75</v>
      </c>
      <c r="AF3" s="34" t="s">
        <v>76</v>
      </c>
      <c r="AG3" s="1" t="s">
        <v>8</v>
      </c>
      <c r="AH3" s="1" t="s">
        <v>9</v>
      </c>
    </row>
    <row r="4" spans="1:34" ht="21.75" customHeight="1">
      <c r="A4" s="47" t="s">
        <v>108</v>
      </c>
      <c r="C4" s="5"/>
      <c r="D4" s="5"/>
      <c r="E4" s="5">
        <f>121956.16*0+3/3*467446.12*0+4/4*611377.67*0+5/5*638287.71*0+6/6*695558.37*0+7/7*829570.4*0+8/8*858108.33*0+9/9*940383.37*0+10/10*1074487.41*0+11/11*1103417.45*0+12/12*1141274.49</f>
        <v>1141274.49</v>
      </c>
      <c r="F4" s="5"/>
      <c r="G4" s="5"/>
      <c r="H4" s="5"/>
      <c r="I4" s="5"/>
      <c r="J4" s="5">
        <f>3234.3*0+3/3*0.2*0+4/4*0.58*0+5/5*0.24*0+6/6*-0.51*0+7/7*-0.58</f>
        <v>-0.58</v>
      </c>
      <c r="K4" s="5"/>
      <c r="L4" s="5">
        <f>3/3*861.75*0+6/6*1663.24*0+9/9*2256.48*0+12/12*3079.5</f>
        <v>3079.5</v>
      </c>
      <c r="M4" s="25">
        <f>SUM(B4:L4)</f>
        <v>1144353.41</v>
      </c>
      <c r="N4" s="27"/>
      <c r="O4" s="15"/>
      <c r="P4" s="17"/>
      <c r="Q4" s="17"/>
      <c r="R4" s="5"/>
      <c r="S4" s="5"/>
      <c r="T4" s="5"/>
      <c r="U4" s="5"/>
      <c r="V4" s="5">
        <f>18312.6*0+3/3*20732.6*0+5/5*740691.45*0+6/6*741417.45*0+7/7*771093.6*0+11/11*786085*0+12/12*836223.85</f>
        <v>836223.85</v>
      </c>
      <c r="W4" s="5"/>
      <c r="X4" s="5">
        <f>7000*0+3/3*4500*0+6/6*5940*0+7/7*4500</f>
        <v>4500</v>
      </c>
      <c r="Y4" s="5"/>
      <c r="Z4" s="5"/>
      <c r="AA4" s="5"/>
      <c r="AB4" s="4">
        <f>8/8*1636</f>
        <v>1636</v>
      </c>
      <c r="AC4" s="5"/>
      <c r="AD4" s="5">
        <f>541/541*3/3*32248+549/549*((8/8*0.57+9/9*(-0.09-0.26+0.52)+10/10*0.77+11/11*0.35)*0+12/12*1.92)+10/10*542/542*397</f>
        <v>32646.92</v>
      </c>
      <c r="AE4" s="5"/>
      <c r="AF4" s="5"/>
      <c r="AG4" s="25">
        <f>SUM(R4:AF4)</f>
        <v>875006.77</v>
      </c>
      <c r="AH4" s="10">
        <f>M4-AG4</f>
        <v>269346.6399999999</v>
      </c>
    </row>
    <row r="5" spans="1:34" ht="12.75">
      <c r="A5" s="47" t="s">
        <v>109</v>
      </c>
      <c r="C5" s="5"/>
      <c r="D5" s="5"/>
      <c r="F5" s="5"/>
      <c r="G5" s="5"/>
      <c r="H5" s="5"/>
      <c r="I5" s="5"/>
      <c r="J5" s="4">
        <f>3/3*3233+12/12*(27/27*-5075632.74+0-6234.8)</f>
        <v>-5078634.54</v>
      </c>
      <c r="K5" s="5"/>
      <c r="L5" s="5">
        <f>3/3*808.95*0+6/6*1707.75*0+9/9*2635.48*0+12/12*3645.72</f>
        <v>3645.72</v>
      </c>
      <c r="M5" s="62">
        <f aca="true" t="shared" si="0" ref="M5:M35">SUM(B5:L5)</f>
        <v>-5074988.82</v>
      </c>
      <c r="N5" s="57"/>
      <c r="O5" s="15"/>
      <c r="P5" s="17"/>
      <c r="Q5" s="17"/>
      <c r="R5" s="5">
        <f>93*0+3/3*365*0+7/7*487*0+9/9*1357</f>
        <v>1357</v>
      </c>
      <c r="S5" s="5"/>
      <c r="T5" s="5"/>
      <c r="U5" s="5"/>
      <c r="W5" s="5"/>
      <c r="X5" s="5">
        <f>9759.8*0+3/3*17146.1*0+4/4*25866.5*0+5/5*38278*0+6/6*46785.6*0+7/7*60574.1*0+8/8*74175.5*0+9/9*77763.5*0+10/10*86471.5*0+11/11*93848.5*0+12/12*109115.3</f>
        <v>109115.3</v>
      </c>
      <c r="Y5" s="5"/>
      <c r="Z5" s="5"/>
      <c r="AA5" s="5"/>
      <c r="AB5" s="5">
        <f>538/538*36304</f>
        <v>36304</v>
      </c>
      <c r="AC5" s="5"/>
      <c r="AD5" s="5"/>
      <c r="AE5" s="5"/>
      <c r="AF5" s="5"/>
      <c r="AG5" s="25">
        <f>SUM(R5:AF5)+1446*0</f>
        <v>146776.3</v>
      </c>
      <c r="AH5" s="40">
        <f aca="true" t="shared" si="1" ref="AH5:AH30">M5-AG5</f>
        <v>-5221765.12</v>
      </c>
    </row>
    <row r="6" spans="1:34" ht="12" customHeight="1">
      <c r="A6" s="47" t="s">
        <v>10</v>
      </c>
      <c r="C6" s="5">
        <f>82429.31*0+3/3*132790.97*0+4/4*195038.34*0+5/5*254530.08*0+6/6*313949.93*0+8/8*347842.27*0+9/9*392686.88*0+10/10*449856.43*0+11/11*521226.01*0+12/12*578198.86</f>
        <v>578198.86</v>
      </c>
      <c r="D6" s="5"/>
      <c r="F6" s="5"/>
      <c r="G6" s="5"/>
      <c r="H6" s="5"/>
      <c r="I6" s="5"/>
      <c r="J6" s="5"/>
      <c r="K6" s="5"/>
      <c r="L6" s="5"/>
      <c r="M6" s="63">
        <f t="shared" si="0"/>
        <v>578198.86</v>
      </c>
      <c r="N6" s="15"/>
      <c r="O6" s="15"/>
      <c r="P6" s="17"/>
      <c r="Q6" s="17"/>
      <c r="R6" s="5"/>
      <c r="S6" s="5"/>
      <c r="T6" s="5"/>
      <c r="U6" s="5"/>
      <c r="W6" s="5"/>
      <c r="X6" s="5">
        <f>52043.51*0+3/3*84101.71*0+4/4*123001.94*0+5/5*165624.77*0+6/6*200747.6*0+7/7*220747.6*0+8/8*241596.89*0+9/9*269936.41*0+10/10*299702.77*0+11/11*356520.22*0+12/12*391770.14</f>
        <v>391770.14</v>
      </c>
      <c r="Y6" s="5">
        <f>4/4*84840+8/8*86445+10/10*86338+12/12*91996</f>
        <v>349619</v>
      </c>
      <c r="Z6" s="5">
        <f>4/4*21679+8/8*22703+10/10*24537+12/12*24588</f>
        <v>93507</v>
      </c>
      <c r="AA6" s="5"/>
      <c r="AB6" s="5"/>
      <c r="AC6" s="5"/>
      <c r="AD6" s="5"/>
      <c r="AE6" s="5"/>
      <c r="AF6" s="5">
        <f>556/556*809.6*0+3/3*324.4*0+6/6*648.8*0+7/7*(556/556*2015/2015*12/12*-12353.15*0+12/12*-2410.8*0+557/557*2015/2015*13650.75*0)+3/3*223.2*0+6/6*345.2*0+9/9*494.4*0+12/12*3244*0</f>
        <v>0</v>
      </c>
      <c r="AG6" s="63">
        <f>SUM(R6:AF6)</f>
        <v>834896.14</v>
      </c>
      <c r="AH6" s="40">
        <f t="shared" si="1"/>
        <v>-256697.28000000003</v>
      </c>
    </row>
    <row r="7" spans="1:34" ht="12.75">
      <c r="A7" s="48" t="s">
        <v>87</v>
      </c>
      <c r="C7" s="5"/>
      <c r="D7" s="5"/>
      <c r="F7" s="5"/>
      <c r="G7" s="5"/>
      <c r="H7" s="5"/>
      <c r="I7" s="5"/>
      <c r="J7" s="5">
        <f>3/3*31065.74*0+4/4*74282.96*0+5/5*139477.56*0+6/6*204803.02*0+8/8*313369.49*0+9/9*366980.62*0+10/10*405977.83*0+11/11*474009.56*0+12/12*527159.72</f>
        <v>527159.72</v>
      </c>
      <c r="K7" s="5"/>
      <c r="L7" s="5"/>
      <c r="M7" s="63">
        <f t="shared" si="0"/>
        <v>527159.72</v>
      </c>
      <c r="N7" s="15"/>
      <c r="O7" s="15"/>
      <c r="P7" s="17"/>
      <c r="Q7" s="17"/>
      <c r="R7" s="75"/>
      <c r="S7" s="5"/>
      <c r="T7" s="5"/>
      <c r="U7" s="5"/>
      <c r="W7" s="5"/>
      <c r="Y7" s="5"/>
      <c r="Z7" s="5"/>
      <c r="AA7" s="5"/>
      <c r="AB7" s="5">
        <f>538/538*59*0+3/3*114*0+4/4*203*0+5/5*295*0+6/6*445*0+7/7*564*0+8/8*619*0+9/9*668*0+10/10*736*0+11/11*794*0+12/12*823</f>
        <v>823</v>
      </c>
      <c r="AC7" s="5"/>
      <c r="AD7" s="5"/>
      <c r="AE7" s="5"/>
      <c r="AF7" s="5">
        <f>0</f>
        <v>0</v>
      </c>
      <c r="AG7" s="63">
        <f>SUM(R7:AF7)</f>
        <v>823</v>
      </c>
      <c r="AH7" s="40">
        <f t="shared" si="1"/>
        <v>526336.72</v>
      </c>
    </row>
    <row r="8" spans="1:34" ht="12.75" hidden="1">
      <c r="A8" s="48" t="s">
        <v>32</v>
      </c>
      <c r="C8" s="5"/>
      <c r="D8" s="5"/>
      <c r="F8" s="5"/>
      <c r="G8" s="5"/>
      <c r="H8" s="5"/>
      <c r="I8" s="5"/>
      <c r="J8" s="5"/>
      <c r="K8" s="5"/>
      <c r="L8" s="5"/>
      <c r="M8" s="25">
        <f t="shared" si="0"/>
        <v>0</v>
      </c>
      <c r="N8" s="15"/>
      <c r="O8" s="15"/>
      <c r="P8" s="17"/>
      <c r="Q8" s="17"/>
      <c r="R8" s="5"/>
      <c r="S8" s="5"/>
      <c r="T8" s="5"/>
      <c r="U8" s="5"/>
      <c r="W8" s="5"/>
      <c r="Y8" s="5"/>
      <c r="Z8" s="5"/>
      <c r="AA8" s="5"/>
      <c r="AB8" s="5"/>
      <c r="AC8" s="5"/>
      <c r="AD8" s="5"/>
      <c r="AE8" s="5"/>
      <c r="AF8" s="5"/>
      <c r="AG8" s="25">
        <f>SUM(R8:AF8)</f>
        <v>0</v>
      </c>
      <c r="AH8" s="40">
        <f t="shared" si="1"/>
        <v>0</v>
      </c>
    </row>
    <row r="9" spans="1:34" ht="12.75">
      <c r="A9" s="48" t="s">
        <v>81</v>
      </c>
      <c r="C9" s="5"/>
      <c r="D9" s="5"/>
      <c r="F9" s="5">
        <f>608.72*0+(350/1.15+0.0121739)*(2+3/3+4/4*4+5/5+6/6+7/7*2+8/8+9/9+10/10*12+11/11)</f>
        <v>7913.35999966087</v>
      </c>
      <c r="G9" s="43"/>
      <c r="H9" s="43"/>
      <c r="I9" s="43"/>
      <c r="J9" s="43"/>
      <c r="K9" s="43"/>
      <c r="L9" s="60"/>
      <c r="M9" s="63">
        <f t="shared" si="0"/>
        <v>7913.35999966087</v>
      </c>
      <c r="N9" s="15"/>
      <c r="O9" s="15"/>
      <c r="P9" s="17"/>
      <c r="Q9" s="17"/>
      <c r="R9" s="5"/>
      <c r="S9" s="5"/>
      <c r="T9" s="5">
        <f>504/504*12/12*9100</f>
        <v>9100</v>
      </c>
      <c r="U9" s="5"/>
      <c r="W9" s="5"/>
      <c r="Y9" s="5"/>
      <c r="Z9" s="5"/>
      <c r="AA9" s="5"/>
      <c r="AB9" s="5"/>
      <c r="AC9" s="5"/>
      <c r="AD9" s="5"/>
      <c r="AE9" s="5"/>
      <c r="AF9" s="5"/>
      <c r="AG9" s="29">
        <f>SUM(R9:AF9)</f>
        <v>9100</v>
      </c>
      <c r="AH9" s="40">
        <f t="shared" si="1"/>
        <v>-1186.64000033913</v>
      </c>
    </row>
    <row r="10" spans="1:34" ht="12.75" hidden="1">
      <c r="A10" s="47" t="s">
        <v>25</v>
      </c>
      <c r="C10" s="5"/>
      <c r="D10" s="5"/>
      <c r="F10" s="5"/>
      <c r="G10" s="5"/>
      <c r="H10" s="5"/>
      <c r="I10" s="5"/>
      <c r="J10" s="5"/>
      <c r="K10" s="5"/>
      <c r="L10" s="5"/>
      <c r="M10" s="29">
        <f t="shared" si="0"/>
        <v>0</v>
      </c>
      <c r="N10" s="15"/>
      <c r="O10" s="15"/>
      <c r="P10" s="17"/>
      <c r="Q10" s="17"/>
      <c r="R10" s="5"/>
      <c r="S10" s="5"/>
      <c r="T10" s="5"/>
      <c r="U10" s="5"/>
      <c r="W10" s="5"/>
      <c r="Y10" s="5"/>
      <c r="Z10" s="5"/>
      <c r="AA10" s="5"/>
      <c r="AB10" s="5"/>
      <c r="AC10" s="5"/>
      <c r="AD10" s="5"/>
      <c r="AE10" s="5"/>
      <c r="AF10" s="5"/>
      <c r="AG10" s="29">
        <f>SUM(R10:AF10)</f>
        <v>0</v>
      </c>
      <c r="AH10" s="40">
        <f t="shared" si="1"/>
        <v>0</v>
      </c>
    </row>
    <row r="11" spans="1:34" ht="12.75" hidden="1">
      <c r="A11" s="47" t="s">
        <v>110</v>
      </c>
      <c r="C11" s="5"/>
      <c r="D11" s="5"/>
      <c r="F11" s="5"/>
      <c r="G11" s="5"/>
      <c r="H11" s="5"/>
      <c r="I11" s="5"/>
      <c r="J11" s="5"/>
      <c r="K11" s="5"/>
      <c r="L11" s="5"/>
      <c r="M11" s="25">
        <f t="shared" si="0"/>
        <v>0</v>
      </c>
      <c r="N11" s="15"/>
      <c r="O11" s="15"/>
      <c r="P11" s="17"/>
      <c r="Q11" s="17"/>
      <c r="R11" s="5"/>
      <c r="S11" s="5"/>
      <c r="T11" s="5"/>
      <c r="U11" s="5"/>
      <c r="W11" s="5"/>
      <c r="Y11" s="5"/>
      <c r="Z11" s="5"/>
      <c r="AA11" s="5"/>
      <c r="AB11" s="5"/>
      <c r="AC11" s="5"/>
      <c r="AD11" s="5"/>
      <c r="AE11" s="5"/>
      <c r="AF11" s="5">
        <f>338/338*0-AG11</f>
        <v>0</v>
      </c>
      <c r="AG11" s="25">
        <f>SUM(R11:AE11)</f>
        <v>0</v>
      </c>
      <c r="AH11" s="40">
        <f t="shared" si="1"/>
        <v>0</v>
      </c>
    </row>
    <row r="12" spans="1:34" ht="12.75">
      <c r="A12" s="47" t="s">
        <v>18</v>
      </c>
      <c r="C12" s="5"/>
      <c r="D12" s="5"/>
      <c r="F12" s="5"/>
      <c r="G12" s="5"/>
      <c r="H12" s="5"/>
      <c r="I12" s="5"/>
      <c r="J12" s="5"/>
      <c r="K12" s="5"/>
      <c r="L12" s="5"/>
      <c r="M12" s="62">
        <f t="shared" si="0"/>
        <v>0</v>
      </c>
      <c r="N12" s="15"/>
      <c r="O12" s="15"/>
      <c r="P12" s="17"/>
      <c r="Q12" s="17"/>
      <c r="R12" s="5"/>
      <c r="S12" s="5"/>
      <c r="T12" s="5"/>
      <c r="U12" s="5"/>
      <c r="V12" s="5">
        <f>11482.75*0+5/5*16498.75*0+7/7*30471.25*0+8/8*46568.95*0+11/11*58017.7</f>
        <v>58017.7</v>
      </c>
      <c r="W12" s="5"/>
      <c r="X12" s="5">
        <f>43*0+3/3*10604*0+5/5*14971*0+11/11*16601</f>
        <v>16601</v>
      </c>
      <c r="Y12" s="5">
        <f>(4/4+8/8)*10429+10/10*10815+12/12*11881</f>
        <v>43554</v>
      </c>
      <c r="Z12" s="5">
        <f>(4/4+8/8)*3547+10/10*3677+12/12*4040</f>
        <v>14811</v>
      </c>
      <c r="AA12" s="5"/>
      <c r="AB12" s="5"/>
      <c r="AC12" s="5"/>
      <c r="AD12" s="5"/>
      <c r="AE12" s="5"/>
      <c r="AF12" s="5">
        <f>11525.75*0+3/3*22086.75*0+4/4*36062.75*0+5/5*45445.75*0+7/7*59418.25*0+8/8*89491.95*0+10/10*103983.95*0+11/11*117062.7*0+12/12*132983.7-AG12</f>
        <v>0</v>
      </c>
      <c r="AG12" s="62">
        <f>SUM(R12:AD12)</f>
        <v>132983.7</v>
      </c>
      <c r="AH12" s="40">
        <f t="shared" si="1"/>
        <v>-132983.7</v>
      </c>
    </row>
    <row r="13" spans="1:34" ht="12.75">
      <c r="A13" s="47" t="s">
        <v>111</v>
      </c>
      <c r="C13" s="5"/>
      <c r="D13" s="5"/>
      <c r="F13" s="5"/>
      <c r="G13" s="5"/>
      <c r="H13" s="5">
        <f>75/75*(641/641*2825*0+3/3*4289*0+4/4*5753*0+5/5*7217*0+6/6*8681*0+7/7*10145*0+8/8*11609*0+9/9*13073*0+10/10*14537*0+11/11*16001*0+12/12*17465)</f>
        <v>17465</v>
      </c>
      <c r="I13" s="5"/>
      <c r="J13" s="5">
        <f>9/9*5/5*85</f>
        <v>85</v>
      </c>
      <c r="K13" s="5"/>
      <c r="L13" s="5"/>
      <c r="M13" s="62">
        <f t="shared" si="0"/>
        <v>17550</v>
      </c>
      <c r="N13" s="15"/>
      <c r="O13" s="15"/>
      <c r="P13" s="17"/>
      <c r="Q13" s="17"/>
      <c r="R13" s="5"/>
      <c r="S13" s="5"/>
      <c r="T13" s="5">
        <f>5/5*(875*0+9/9*31438)+8/8*741600/741600*1800+9/9*751600/751600*14111+9/9*6274/6274*1762</f>
        <v>49111</v>
      </c>
      <c r="U13" s="5"/>
      <c r="V13" s="5">
        <f>75/75*(1955*0+3/3*12655*0+5/5*15833*0+12/12*25043.35)+3/3*61/61*5400+62/62*10400+74/74*9500+5/5*5/5*7700</f>
        <v>58043.35</v>
      </c>
      <c r="W13" s="5"/>
      <c r="X13" s="5">
        <f>74/74*(179*0+4/4*360*0+7/7*543*0+10/10*726)+75/75*1997+4/4*(627475/627475*11011)+5/5*5/5*786</f>
        <v>14520</v>
      </c>
      <c r="Y13" s="5"/>
      <c r="Z13" s="5"/>
      <c r="AA13" s="5"/>
      <c r="AB13" s="5"/>
      <c r="AC13" s="5"/>
      <c r="AD13" s="5"/>
      <c r="AE13" s="5"/>
      <c r="AF13" s="5">
        <f>5/5*875*0+5/5*(9361*0+9/9*39924)+61/61*5400+62/62*10400+74/74*(179*0+3/3*9679*0+4/4*9860*0+7/7*10043*0+10/10*10226+741600/741600*1800)+75/75*(3952*0+3/3*14652*0+5/5*17830*0+12/12*27040.35)+627475/627475*11011+9/9*751600/751600*14111+6274/6274*1762-AG13</f>
        <v>0</v>
      </c>
      <c r="AG13" s="62">
        <f>SUM(R13:AE13)-(74/74*(6119.2*0+7570.2*0+8/8*7232.06)+1600/1600*(6165*0+8/8*2904)+8/8*(5/5*5965+62/62*10781.6+64/64*1088.7+75/75*30864.38+954/954*57141.92))*0-(876+4260+968+27930.95+15504+4830)*0</f>
        <v>121674.35</v>
      </c>
      <c r="AH13" s="40">
        <f t="shared" si="1"/>
        <v>-104124.35</v>
      </c>
    </row>
    <row r="14" spans="1:34" ht="21">
      <c r="A14" s="49" t="s">
        <v>144</v>
      </c>
      <c r="C14" s="5"/>
      <c r="D14" s="5"/>
      <c r="F14" s="5"/>
      <c r="G14" s="5"/>
      <c r="H14" s="5"/>
      <c r="I14" s="5"/>
      <c r="J14" s="5"/>
      <c r="K14" s="5"/>
      <c r="L14" s="5"/>
      <c r="M14" s="62">
        <f t="shared" si="0"/>
        <v>0</v>
      </c>
      <c r="N14" s="15"/>
      <c r="O14" s="15"/>
      <c r="P14" s="17"/>
      <c r="Q14" s="17"/>
      <c r="R14" s="5">
        <f>10611082/10611082*1145*0+5/5*2125*0+10/10*2275+1065/1065*80+3/3*1061/1061*50+5/5*1067/1067*80+106571/106571*300</f>
        <v>2785</v>
      </c>
      <c r="S14" s="5"/>
      <c r="T14" s="5">
        <f>3/3*1061/1061*1767+4/4*1068/1068*(379*0+7/7*689)+6/6*1063/1063*700+7/7*(1062/1062*57+1065/1065*525*0+12/12*1126)+9/9*1066/1066*30</f>
        <v>4369</v>
      </c>
      <c r="U14" s="5"/>
      <c r="V14" s="5">
        <f>1063/1063*(350*0+3/3*21340*0+5/5*23007.5*0+12/12*24944.1)+1065/1065*(2761*0+4/4*24869.75)+1068/1068*(954*0+3/3*139695.75*0+5/5*143978.1*0+11/11*147945.6)+1069/1069*2420+1063781517/1063781517*6008.75+5/5*(106163/106163*37812.5+106169/106169*10744.45+106182/106182*4658*0+8/8*11198)+7/7*(1061/1061*(24200*0+25122.3)+1062/1062*(24340*0+12/12*25342.8)+106566/106566*46645.5+106768/106768*44739.75)+8/8*106971/106971*46367.2+11/11*1066/1066*9228.75</f>
        <v>463389.45</v>
      </c>
      <c r="W14" s="5"/>
      <c r="X14" s="5">
        <f>814/814*10890+3/3*106163/106163*1080+3/3*10611082/10611082*(39930*0+5/5*60500*0+6/6*70543*0+7/7*116305)+106571/106571*2520+1062/1062*8/8*6050+9/9*(1061/1061*1080+1065/1065*2520)+12/12*(1060/1060*11/11*6534*0+12/12*8534)</f>
        <v>148979</v>
      </c>
      <c r="Y14" s="5">
        <f>(4/4+8/8+10/10+12/12)*5808</f>
        <v>23232</v>
      </c>
      <c r="Z14" s="5">
        <f>(4/4+8/8+10/10+12/12)*1980</f>
        <v>7920</v>
      </c>
      <c r="AA14" s="5"/>
      <c r="AB14" s="72"/>
      <c r="AC14" s="5"/>
      <c r="AD14" s="5"/>
      <c r="AE14" s="5"/>
      <c r="AF14" s="5">
        <f>0+814/814*10890+1063/1063*(350*0+3/3*21340*0+5/5*23007.5*0+6/6*23707.5*0+12/12*25644.1)+1065/1065*2841*0+4/4*24949.75*0+7/7*25474.75*0+9/9*27994.75*0+12/12*28595.75+1068/1068*(954*0+3/3*139695.75*0+4/4*140074.75*0+5/5*144357.1*0+7/7*144667.1*0+11/11*148634.6)+1069/1069*2420+10611082/10611082*(1145*0+3/3*41075*0+4/4*48863*0+5/5*75071*0+6/6*85114*0+7/7*130876*0+8/8*145204*0+10/10*153142*0+12/12*160930)+1063781517/1063781517*6008.75+3/3*1061/1061*(1817*0+7/7*26017*0+9/9*27097*0+12/12*28019.3)+10651071/10651071*2520*0+5/5*2820+10611063/10611063*(1080*0+5/5*38892.5)+5/5*(1067/1067*80+10611069/10611069*10744.45)+7/7*(1062/1062*(24397*0+9/9*8/8*30447*0+12/12*31449.8)+10651066/10651066*46645.5+10671068/10671068*44739.75)+8/8*1062/1062*6050*0+8/8*10691071/10691071*46367.2+9/9*1066/1066*(30*0+11/11*9258.75)+12/12*(11/11*6534*0+12/12*8534)-AG14</f>
        <v>0</v>
      </c>
      <c r="AG14" s="62">
        <f>SUM(R14:AE14)-(1061/1061*8183.58+1062/1062*8031.6+1063/1063*3421+10611082/10611082*121992)*0</f>
        <v>650674.45</v>
      </c>
      <c r="AH14" s="40">
        <f t="shared" si="1"/>
        <v>-650674.45</v>
      </c>
    </row>
    <row r="15" spans="1:34" ht="12.75" hidden="1">
      <c r="A15" s="50" t="s">
        <v>112</v>
      </c>
      <c r="C15" s="5"/>
      <c r="D15" s="5"/>
      <c r="F15" s="5"/>
      <c r="G15" s="5"/>
      <c r="H15" s="5"/>
      <c r="I15" s="5"/>
      <c r="J15" s="5"/>
      <c r="K15" s="5"/>
      <c r="L15" s="5"/>
      <c r="M15" s="62">
        <f t="shared" si="0"/>
        <v>0</v>
      </c>
      <c r="N15" s="15"/>
      <c r="O15" s="15"/>
      <c r="P15" s="17"/>
      <c r="Q15" s="17"/>
      <c r="R15" s="5"/>
      <c r="S15" s="5"/>
      <c r="T15" s="5"/>
      <c r="U15" s="5"/>
      <c r="W15" s="5"/>
      <c r="Y15" s="5"/>
      <c r="Z15" s="5"/>
      <c r="AA15" s="5"/>
      <c r="AB15" s="5"/>
      <c r="AC15" s="5"/>
      <c r="AD15" s="5"/>
      <c r="AE15" s="5"/>
      <c r="AF15" s="5">
        <f>1065/1065*0-AG15</f>
        <v>0</v>
      </c>
      <c r="AG15" s="62">
        <f>SUM(R15:AE15)-(1065/1065*10398.2+1066/1066*(5810.2*0+1627)+1067/1067*((2616.9+492)*0+8/8*13292.44)+10651067/10651067*7/7*1440+1068/1068*8/8*137154.8)*0</f>
        <v>0</v>
      </c>
      <c r="AH15" s="40">
        <f t="shared" si="1"/>
        <v>0</v>
      </c>
    </row>
    <row r="16" spans="1:34" ht="12.75" hidden="1">
      <c r="A16" s="47" t="s">
        <v>113</v>
      </c>
      <c r="C16" s="5"/>
      <c r="D16" s="5"/>
      <c r="F16" s="5"/>
      <c r="G16" s="5"/>
      <c r="H16" s="5"/>
      <c r="I16" s="5"/>
      <c r="J16" s="5"/>
      <c r="K16" s="5"/>
      <c r="L16" s="5"/>
      <c r="M16" s="62">
        <f t="shared" si="0"/>
        <v>0</v>
      </c>
      <c r="N16" s="15"/>
      <c r="O16" s="15"/>
      <c r="P16" s="17"/>
      <c r="Q16" s="17"/>
      <c r="R16" s="5"/>
      <c r="S16" s="5"/>
      <c r="T16" s="5"/>
      <c r="U16" s="5"/>
      <c r="W16" s="5"/>
      <c r="Y16" s="5"/>
      <c r="Z16" s="5"/>
      <c r="AA16" s="5"/>
      <c r="AB16" s="5"/>
      <c r="AC16" s="5"/>
      <c r="AD16" s="5"/>
      <c r="AE16" s="5"/>
      <c r="AF16" s="5">
        <f>1070/1070*0-AG16</f>
        <v>0</v>
      </c>
      <c r="AG16" s="62">
        <f>SUM(R16:AE16)-(1069/1069*(2734.6*0+2505.52)+1070/1070*8/8*5326.71+1071/1071*(9891.3*0+8/8*2505)+10701071/10701071*638.4)*0</f>
        <v>0</v>
      </c>
      <c r="AH16" s="40">
        <f t="shared" si="1"/>
        <v>0</v>
      </c>
    </row>
    <row r="17" spans="1:34" ht="12.75">
      <c r="A17" s="47" t="s">
        <v>114</v>
      </c>
      <c r="C17" s="5"/>
      <c r="D17" s="5"/>
      <c r="F17" s="5"/>
      <c r="G17" s="5"/>
      <c r="H17" s="5"/>
      <c r="I17" s="5"/>
      <c r="J17" s="5">
        <f>9/9*107475/107475*3219</f>
        <v>3219</v>
      </c>
      <c r="K17" s="5"/>
      <c r="L17" s="5"/>
      <c r="M17" s="62">
        <f t="shared" si="0"/>
        <v>3219</v>
      </c>
      <c r="N17" s="15"/>
      <c r="O17" s="15"/>
      <c r="P17" s="17"/>
      <c r="Q17" s="17"/>
      <c r="R17" s="5">
        <f>10741075/10741075*78</f>
        <v>78</v>
      </c>
      <c r="S17" s="5"/>
      <c r="T17" s="5">
        <f>4/4*1070/1070*770+9/9*10741075/10741075*3219+1075/1075*12/12*353</f>
        <v>4342</v>
      </c>
      <c r="U17" s="5"/>
      <c r="V17" s="5">
        <f>1070/1070*4600+1075/1075*(7516.4*0+10/10*32421.95*0+11/11*16595.65*0+12/12*54074.15)+5/5*107479/107479*12148+107475/107475*47976.5+1074/1074*(8/8*12203.8*0+9/9*12647.7*0+10/10*27876.5*0+11/11*29326.5*0+12/12*100552.9)+1071/1071*12/12*32239.1</f>
        <v>251590.65</v>
      </c>
      <c r="W17" s="5"/>
      <c r="X17" s="5">
        <f>107475/107475*3/3*540+9/9*1074/1074*540</f>
        <v>1080</v>
      </c>
      <c r="Y17" s="5"/>
      <c r="Z17" s="5"/>
      <c r="AA17" s="5"/>
      <c r="AB17" s="5"/>
      <c r="AC17" s="5"/>
      <c r="AD17" s="5"/>
      <c r="AE17" s="5"/>
      <c r="AF17" s="5">
        <f>1070/1070*4600*0+4/4*5370+10741075/10741075*(78*0+3/3*618*0+6/6*48594.5*0+9/9*51813.5)+3/3*1075/1075*(7516.4*0+10/10*39938.35*0+11/11*49017.6*0+12/12*54427.15)+5/5*10741079/10741079*12148+8/8*1074/1074*(12203.8*0+9/9*25391.5*0+10/10*28416.5*0+11/11*29866.5*0+12/12*101092.9)+1071/1071*12/12*32239.1-AG17</f>
        <v>0</v>
      </c>
      <c r="AG17" s="62">
        <f>SUM(R17:AE17)-(1074/1074*(4546.3*0+8/8*85537.36)+1075/1075*(23693*0+8/8*19960.4)+10741075/10741075*4490+10741600/10741600*330+10751600/10751600*2201*0)*0</f>
        <v>257090.65</v>
      </c>
      <c r="AH17" s="40">
        <f t="shared" si="1"/>
        <v>-253871.65</v>
      </c>
    </row>
    <row r="18" spans="1:34" ht="12.75">
      <c r="A18" s="47" t="s">
        <v>78</v>
      </c>
      <c r="C18" s="5"/>
      <c r="D18" s="5"/>
      <c r="F18" s="5"/>
      <c r="G18" s="5"/>
      <c r="H18" s="5"/>
      <c r="I18" s="5"/>
      <c r="J18" s="5">
        <f>9/9*107879/107879*2410</f>
        <v>2410</v>
      </c>
      <c r="K18" s="5"/>
      <c r="L18" s="5"/>
      <c r="M18" s="62">
        <f t="shared" si="0"/>
        <v>2410</v>
      </c>
      <c r="N18" s="15"/>
      <c r="O18" s="15"/>
      <c r="P18" s="17"/>
      <c r="Q18" s="17"/>
      <c r="R18" s="5">
        <f>1078/1078*633+10781079/10781079*262+10/10*1079/1079*145</f>
        <v>1040</v>
      </c>
      <c r="S18" s="5"/>
      <c r="T18" s="5">
        <f>7/7*28+9/9*10781079/10781079*2410+9/9*10611079/10611079*14819</f>
        <v>17257</v>
      </c>
      <c r="U18" s="5"/>
      <c r="V18" s="5">
        <f>1079/1079*1100*0+4/4*6392.3*0+6/6*34386.8*0+7/7*38526.8*0+8/8*106449.05*0+11/11*108699.05+11/11*1078/1078*3650</f>
        <v>112349.05</v>
      </c>
      <c r="W18" s="5"/>
      <c r="X18" s="5">
        <f>3/3*107879/107879*540+5/5*1079/1079*(2560*0+8/8*5560)+9/9*1078/1078*540</f>
        <v>6640</v>
      </c>
      <c r="Y18" s="5"/>
      <c r="Z18" s="5"/>
      <c r="AA18" s="5"/>
      <c r="AB18" s="5"/>
      <c r="AC18" s="5"/>
      <c r="AD18" s="5"/>
      <c r="AE18" s="5"/>
      <c r="AF18" s="5">
        <f>1078/1078*(633*0+9/9*1173*0+11/11*4823)+1079/1079*1100*0+4/4*6392.3*0+5/5*8952.3*0+6/6*36946.8*0+7/7*41114.8*0+8/8*112037.05*0+10/10*112182.05*0+11/11*114432.05+10781079/10781079*(262*0+3/3*802)+9/9*10611079/10611079*14819+10781079/10781079*2410-AG18</f>
        <v>0</v>
      </c>
      <c r="AG18" s="62">
        <f>SUM(R18:AE18)-(1078/1078*(153*0+8/8*6205.78)+1079/1079*(15708.5*0+8/8*19851.36)+10781079/10781079*(8549*0+4599*0+8/8*2842)+10781600/10781600*213)*0-6/6*(10725.95+40932.35)*0</f>
        <v>137286.05</v>
      </c>
      <c r="AH18" s="40">
        <f t="shared" si="1"/>
        <v>-134876.05</v>
      </c>
    </row>
    <row r="19" spans="1:34" ht="12.75">
      <c r="A19" s="47" t="s">
        <v>65</v>
      </c>
      <c r="C19" s="5"/>
      <c r="D19" s="5"/>
      <c r="F19" s="5"/>
      <c r="G19" s="5"/>
      <c r="H19" s="5"/>
      <c r="I19" s="5"/>
      <c r="J19" s="5"/>
      <c r="K19" s="5"/>
      <c r="L19" s="5"/>
      <c r="M19" s="62">
        <f t="shared" si="0"/>
        <v>0</v>
      </c>
      <c r="N19" s="15"/>
      <c r="O19" s="15"/>
      <c r="P19" s="17"/>
      <c r="Q19" s="17"/>
      <c r="R19" s="5">
        <f>4/4*10681081/10681081*135</f>
        <v>135</v>
      </c>
      <c r="S19" s="5"/>
      <c r="T19" s="5">
        <f>5/5*1081/1081*1697</f>
        <v>1697</v>
      </c>
      <c r="U19" s="5"/>
      <c r="V19" s="5">
        <f>3/3*1081/1081*3300*0+4/4*11976.75+5/5*108082/108082*47220.25*0+12/12*81970.25+11/11*1080/1080*16128.75</f>
        <v>110075.75</v>
      </c>
      <c r="W19" s="5"/>
      <c r="X19" s="5">
        <f>3/3*10801082/10801082*1080+9/9*1080/1080*1080</f>
        <v>2160</v>
      </c>
      <c r="Y19" s="5"/>
      <c r="Z19" s="5"/>
      <c r="AA19" s="5"/>
      <c r="AB19" s="5"/>
      <c r="AC19" s="5"/>
      <c r="AD19" s="5"/>
      <c r="AE19" s="5"/>
      <c r="AF19" s="5">
        <f>3/3*1081/1081*3300*0+4/4*11976.75*0+5/5*13673.75+10801082/10801082*(1080*0+5/5*48300.25*0+12/12*83050.25)+10681081/10681081*135+9/9*1080/1080*1080*0+11/11*17208.75-AG19</f>
        <v>0</v>
      </c>
      <c r="AG19" s="62">
        <f>SUM(R19:AE19)-(1080/1080*(8075.1*0+8/8*4068.42)+1081/1081*(8863*0+8/8*9083)+1082/1082*(3397*0+8/8*179678.06)+10801082/10801082*199+10801600/10801600*3764+10821600/10821600*3810)*0</f>
        <v>114067.75</v>
      </c>
      <c r="AH19" s="40">
        <f t="shared" si="1"/>
        <v>-114067.75</v>
      </c>
    </row>
    <row r="20" spans="1:34" ht="21.75" customHeight="1">
      <c r="A20" s="47" t="s">
        <v>60</v>
      </c>
      <c r="C20" s="5"/>
      <c r="D20" s="5"/>
      <c r="F20" s="5"/>
      <c r="G20" s="5"/>
      <c r="H20" s="5"/>
      <c r="I20" s="5"/>
      <c r="J20" s="5">
        <f>9/9*311344</f>
        <v>311344</v>
      </c>
      <c r="K20" s="5"/>
      <c r="L20" s="5"/>
      <c r="M20" s="62">
        <f t="shared" si="0"/>
        <v>311344</v>
      </c>
      <c r="N20" s="15"/>
      <c r="O20" s="15"/>
      <c r="P20" s="21"/>
      <c r="Q20" s="21"/>
      <c r="R20" s="5">
        <f>280*0+3/3*372</f>
        <v>372</v>
      </c>
      <c r="S20" s="5"/>
      <c r="T20" s="5">
        <f>9/9*311344</f>
        <v>311344</v>
      </c>
      <c r="U20" s="5"/>
      <c r="V20" s="5">
        <f>33521.26*0+3/3*42402.66*0+4/4*65577.66*0+7/7*79648.56*0+8/8*91116.94*0+9/9*104580.61*0+10/10*127559.08*0+11/11*147621.07*0+12/12*191906.15</f>
        <v>191906.15</v>
      </c>
      <c r="W20" s="5"/>
      <c r="X20" s="5">
        <f>78989*0+3/3*114079*0+4/4*151299*0+5/5*223276*0+7/7*260163*0+8/8*330343*0+9/9*332473*0+10/10*481303*0+12/12*519388+11001600/11001600*5324</f>
        <v>524712</v>
      </c>
      <c r="Y20" s="5">
        <f>4/4*4047+8/8*3936+10/10*3977+12/12*3953</f>
        <v>15913</v>
      </c>
      <c r="Z20" s="5">
        <f>4/4*1384+8/8*1341+10/10*1358+12/12*1352</f>
        <v>5435</v>
      </c>
      <c r="AA20" s="5"/>
      <c r="AB20" s="5"/>
      <c r="AC20" s="5"/>
      <c r="AD20" s="5"/>
      <c r="AE20" s="5"/>
      <c r="AF20" s="5">
        <f>112790.26*0+3/3*156853.66*0+4/4*222679.66*0+5/5*294656.66*0+7/7*345614.56*0+8/8*432539.94*0+9/9*759477.61*0+10/10*936621.08*0+11/11*956683.07*0+12/12*1044358.15+11001600/11001600*5324-AG20</f>
        <v>0</v>
      </c>
      <c r="AG20" s="62">
        <f>SUM(R20:AE20)</f>
        <v>1049682.15</v>
      </c>
      <c r="AH20" s="10">
        <f t="shared" si="1"/>
        <v>-738338.1499999999</v>
      </c>
    </row>
    <row r="21" spans="1:34" ht="12.75" hidden="1">
      <c r="A21" s="47" t="s">
        <v>54</v>
      </c>
      <c r="C21" s="5"/>
      <c r="D21" s="5"/>
      <c r="F21" s="5"/>
      <c r="G21" s="5"/>
      <c r="H21" s="5"/>
      <c r="I21" s="5"/>
      <c r="J21" s="5"/>
      <c r="K21" s="5"/>
      <c r="L21" s="5"/>
      <c r="M21" s="62">
        <f t="shared" si="0"/>
        <v>0</v>
      </c>
      <c r="N21" s="15"/>
      <c r="O21" s="15"/>
      <c r="P21" s="21"/>
      <c r="Q21" s="21"/>
      <c r="R21" s="5"/>
      <c r="S21" s="5"/>
      <c r="T21" s="5"/>
      <c r="U21" s="5"/>
      <c r="W21" s="5"/>
      <c r="Y21" s="5"/>
      <c r="Z21" s="5"/>
      <c r="AA21" s="5"/>
      <c r="AB21" s="5"/>
      <c r="AC21" s="5"/>
      <c r="AD21" s="5"/>
      <c r="AE21" s="5"/>
      <c r="AF21" s="12"/>
      <c r="AG21" s="62">
        <f>SUM(R21:AF21)</f>
        <v>0</v>
      </c>
      <c r="AH21" s="40">
        <f t="shared" si="1"/>
        <v>0</v>
      </c>
    </row>
    <row r="22" spans="1:34" ht="10.5" customHeight="1">
      <c r="A22" s="48" t="s">
        <v>145</v>
      </c>
      <c r="C22" s="5"/>
      <c r="D22" s="5"/>
      <c r="F22" s="5"/>
      <c r="G22" s="5"/>
      <c r="H22" s="5"/>
      <c r="I22" s="5"/>
      <c r="J22" s="5"/>
      <c r="K22" s="5"/>
      <c r="L22" s="5"/>
      <c r="M22" s="62">
        <f t="shared" si="0"/>
        <v>0</v>
      </c>
      <c r="N22" s="15"/>
      <c r="O22" s="15"/>
      <c r="P22" s="17"/>
      <c r="Q22" s="17"/>
      <c r="R22" s="5"/>
      <c r="S22" s="5"/>
      <c r="T22" s="5"/>
      <c r="U22" s="5"/>
      <c r="V22" s="5">
        <f>3/3*80/80*1270.5</f>
        <v>1270.5</v>
      </c>
      <c r="W22" s="5"/>
      <c r="Y22" s="5"/>
      <c r="Z22" s="5"/>
      <c r="AA22" s="5"/>
      <c r="AB22" s="5"/>
      <c r="AC22" s="5"/>
      <c r="AD22" s="5"/>
      <c r="AE22" s="5"/>
      <c r="AF22" s="5">
        <f>0+80/80*3/3*1270.5-AG22</f>
        <v>0</v>
      </c>
      <c r="AG22" s="62">
        <f>SUM(R22:AE22)-8/8*(11781.4+1021600/1021600*4483)*0</f>
        <v>1270.5</v>
      </c>
      <c r="AH22" s="40">
        <f t="shared" si="1"/>
        <v>-1270.5</v>
      </c>
    </row>
    <row r="23" spans="1:34" ht="12.75">
      <c r="A23" s="48" t="s">
        <v>137</v>
      </c>
      <c r="C23" s="5"/>
      <c r="D23" s="5"/>
      <c r="F23" s="5"/>
      <c r="G23" s="5"/>
      <c r="H23" s="5"/>
      <c r="I23" s="5"/>
      <c r="J23" s="5">
        <f>9/9*112210</f>
        <v>112210</v>
      </c>
      <c r="K23" s="5"/>
      <c r="L23" s="5"/>
      <c r="M23" s="62">
        <f t="shared" si="0"/>
        <v>112210</v>
      </c>
      <c r="N23" s="15"/>
      <c r="O23" s="15"/>
      <c r="P23" s="17"/>
      <c r="Q23" s="17"/>
      <c r="R23" s="5"/>
      <c r="S23" s="5"/>
      <c r="T23" s="5">
        <f>9/9*112210</f>
        <v>112210</v>
      </c>
      <c r="U23" s="5"/>
      <c r="V23" s="5">
        <f>1368/1368*9650*0+13461.5*0+4/4*60587.37*0+5/5*74807.37</f>
        <v>74807.37</v>
      </c>
      <c r="W23" s="5"/>
      <c r="Y23" s="5"/>
      <c r="Z23" s="5"/>
      <c r="AA23" s="5"/>
      <c r="AB23" s="5"/>
      <c r="AC23" s="5"/>
      <c r="AD23" s="5"/>
      <c r="AE23" s="5"/>
      <c r="AF23" s="5">
        <f>1368/1368*9650*0+3/3*13461.5*0+4/4*60587.37*0+5/5*74807.37*0+9/9*187017.37-AG23</f>
        <v>0</v>
      </c>
      <c r="AG23" s="62">
        <f>SUM(R23:AE23)-(1251/1251*(3133*0+8/8*10320)+(1367/1367*0+1368/1368)*(941.6*0+8/8*128568.4))*0</f>
        <v>187017.37</v>
      </c>
      <c r="AH23" s="40">
        <f t="shared" si="1"/>
        <v>-74807.37</v>
      </c>
    </row>
    <row r="24" spans="1:34" ht="12.75" hidden="1">
      <c r="A24" s="47" t="s">
        <v>20</v>
      </c>
      <c r="C24" s="5"/>
      <c r="D24" s="5"/>
      <c r="F24" s="5"/>
      <c r="G24" s="5"/>
      <c r="H24" s="5"/>
      <c r="I24" s="5"/>
      <c r="J24" s="5"/>
      <c r="K24" s="5"/>
      <c r="L24" s="5"/>
      <c r="M24" s="62">
        <f t="shared" si="0"/>
        <v>0</v>
      </c>
      <c r="N24" s="15"/>
      <c r="O24" s="15"/>
      <c r="P24" s="17"/>
      <c r="Q24" s="17"/>
      <c r="R24" s="5"/>
      <c r="S24" s="5"/>
      <c r="T24" s="5"/>
      <c r="U24" s="5"/>
      <c r="W24" s="5"/>
      <c r="Y24" s="5"/>
      <c r="Z24" s="5"/>
      <c r="AA24" s="5"/>
      <c r="AB24" s="5"/>
      <c r="AC24" s="5"/>
      <c r="AD24" s="5"/>
      <c r="AE24" s="5"/>
      <c r="AF24" s="5"/>
      <c r="AG24" s="29">
        <f>SUM(R24:AF24)</f>
        <v>0</v>
      </c>
      <c r="AH24" s="40">
        <f t="shared" si="1"/>
        <v>0</v>
      </c>
    </row>
    <row r="25" spans="1:34" ht="12.75" hidden="1">
      <c r="A25" s="47" t="s">
        <v>24</v>
      </c>
      <c r="C25" s="5"/>
      <c r="D25" s="5"/>
      <c r="F25" s="5"/>
      <c r="G25" s="5"/>
      <c r="H25" s="5"/>
      <c r="I25" s="5"/>
      <c r="J25" s="5"/>
      <c r="K25" s="5"/>
      <c r="L25" s="5"/>
      <c r="M25" s="62">
        <f t="shared" si="0"/>
        <v>0</v>
      </c>
      <c r="N25" s="15"/>
      <c r="O25" s="15"/>
      <c r="P25" s="17"/>
      <c r="Q25" s="17"/>
      <c r="R25" s="5"/>
      <c r="S25" s="5"/>
      <c r="T25" s="5"/>
      <c r="U25" s="5"/>
      <c r="W25" s="5"/>
      <c r="Y25" s="5"/>
      <c r="Z25" s="5"/>
      <c r="AA25" s="5"/>
      <c r="AB25" s="5"/>
      <c r="AC25" s="5"/>
      <c r="AD25" s="5"/>
      <c r="AE25" s="5"/>
      <c r="AF25" s="5">
        <f>2016/2016*9/9*107883*0-AG25</f>
        <v>0</v>
      </c>
      <c r="AG25" s="62">
        <f>SUM(R25:AE25)</f>
        <v>0</v>
      </c>
      <c r="AH25" s="40">
        <f t="shared" si="1"/>
        <v>0</v>
      </c>
    </row>
    <row r="26" spans="1:34" ht="12.75">
      <c r="A26" s="47" t="s">
        <v>26</v>
      </c>
      <c r="C26" s="5"/>
      <c r="D26" s="5"/>
      <c r="F26" s="5"/>
      <c r="G26" s="5"/>
      <c r="H26" s="5"/>
      <c r="I26" s="5"/>
      <c r="J26" s="5"/>
      <c r="K26" s="5"/>
      <c r="L26" s="5"/>
      <c r="M26" s="62">
        <f t="shared" si="0"/>
        <v>0</v>
      </c>
      <c r="N26" s="15"/>
      <c r="O26" s="15"/>
      <c r="P26" s="17"/>
      <c r="Q26" s="17"/>
      <c r="R26" s="5"/>
      <c r="S26" s="5"/>
      <c r="T26" s="5"/>
      <c r="U26" s="5"/>
      <c r="V26" s="5">
        <f>3/3*10309*0+12/12*26940.45</f>
        <v>26940.45</v>
      </c>
      <c r="W26" s="5"/>
      <c r="Y26" s="5"/>
      <c r="Z26" s="5"/>
      <c r="AA26" s="5"/>
      <c r="AB26" s="5"/>
      <c r="AC26" s="5"/>
      <c r="AD26" s="5"/>
      <c r="AE26" s="5"/>
      <c r="AF26" s="5"/>
      <c r="AG26" s="62">
        <f>SUM(R26:AF26)</f>
        <v>26940.45</v>
      </c>
      <c r="AH26" s="40">
        <f t="shared" si="1"/>
        <v>-26940.45</v>
      </c>
    </row>
    <row r="27" spans="1:34" ht="12.75">
      <c r="A27" s="47" t="s">
        <v>23</v>
      </c>
      <c r="C27" s="5"/>
      <c r="D27" s="5"/>
      <c r="F27" s="5"/>
      <c r="G27" s="5"/>
      <c r="H27" s="5"/>
      <c r="I27" s="5"/>
      <c r="J27" s="5"/>
      <c r="K27" s="5"/>
      <c r="L27" s="5"/>
      <c r="M27" s="62">
        <f t="shared" si="0"/>
        <v>0</v>
      </c>
      <c r="N27" s="15"/>
      <c r="O27" s="15"/>
      <c r="P27" s="17"/>
      <c r="Q27" s="17"/>
      <c r="R27" s="5"/>
      <c r="S27" s="5"/>
      <c r="T27" s="5">
        <f>1517/1517*960*0+5/5*2320*0+7/7*3256</f>
        <v>3256</v>
      </c>
      <c r="U27" s="5"/>
      <c r="V27" s="5">
        <f>3/3*16893.5*0+5/5*25599*0+6/6*46264.5*0+7/7*145787.5*0+9/9*168531.05*0+10/10*171511.05*0+11/11*277521.5+7/7*15171522/15171522*12340/2*2</f>
        <v>289861.5</v>
      </c>
      <c r="W27" s="5"/>
      <c r="X27" s="5">
        <f>5/5*10999*0+6/6*36147*0+11/11*40647</f>
        <v>40647</v>
      </c>
      <c r="Y27" s="5">
        <f>4/4*8743+8/8*8817+10/10*8761+12/12*9432</f>
        <v>35753</v>
      </c>
      <c r="Z27" s="5">
        <f>4/4*2973+8/8*2999+10/10*2980+12/12*3209</f>
        <v>12161</v>
      </c>
      <c r="AA27" s="5"/>
      <c r="AB27" s="5"/>
      <c r="AC27" s="5"/>
      <c r="AD27" s="5"/>
      <c r="AE27" s="5"/>
      <c r="AF27" s="5">
        <f>1517/1517*(960*0+3/3*17853.5*0+4/4*29569.5*0+5/5*50634*0+6/6*96447.5*0+7/7*196906.5*0+8/8*208722.5*0+9/9*231466.05*0+10/10*246187.05*0+11/11*356697.5*0+12/12*369338.5)+15171522/15171522*(1000*0+10855*0+7/7*23195-12340/2*0)+45201517/45201517*1.21*0+5/5*4.84*0+7/7*8.47*0+12/12*14.52-AG27-AG28</f>
        <v>1.8189894035458565E-11</v>
      </c>
      <c r="AG27" s="62">
        <f>SUM(R27:AE27)-(15171600/15171600*(204/2*2*0+8/8*591)+1517/1517*(72402.9*0+8/8*69612.96)+15171522/15171522*(88367/2*0+8/8*10978/2))*0</f>
        <v>381678.5</v>
      </c>
      <c r="AH27" s="40">
        <f t="shared" si="1"/>
        <v>-381678.5</v>
      </c>
    </row>
    <row r="28" spans="1:34" ht="12.75">
      <c r="A28" s="51" t="s">
        <v>115</v>
      </c>
      <c r="C28" s="5"/>
      <c r="D28" s="5"/>
      <c r="E28" s="5">
        <f>16239.67*0+3/3*24214.88*0+4/4*32190.09*0+5/5*40165.3*0+6/6*48140.51*0+7/7*56115.72*0+8/8*64380.18*0+9/9*72644.64*0+10/10*80909.1*0+11/11*89173.56*0+12/12*97438.02</f>
        <v>97438.02</v>
      </c>
      <c r="F28" s="5"/>
      <c r="G28" s="5"/>
      <c r="H28" s="5"/>
      <c r="I28" s="5"/>
      <c r="J28" s="5"/>
      <c r="K28" s="5"/>
      <c r="L28" s="5"/>
      <c r="M28" s="62">
        <f t="shared" si="0"/>
        <v>97438.02</v>
      </c>
      <c r="N28" s="15"/>
      <c r="O28" s="15"/>
      <c r="P28" s="17"/>
      <c r="Q28" s="17"/>
      <c r="R28" s="5"/>
      <c r="S28" s="5"/>
      <c r="T28" s="5"/>
      <c r="U28" s="5"/>
      <c r="W28" s="5"/>
      <c r="X28" s="5">
        <f>15171522/15171522*(1000*0+4/4*10855)+45201517/45201517*(1.21*0+5/5*4.84*0+7/7*8.47*0+12/12*14.52)</f>
        <v>10869.52</v>
      </c>
      <c r="Y28" s="5"/>
      <c r="Z28" s="5"/>
      <c r="AA28" s="5"/>
      <c r="AB28" s="5"/>
      <c r="AC28" s="5"/>
      <c r="AD28" s="5"/>
      <c r="AE28" s="5"/>
      <c r="AF28" s="5"/>
      <c r="AG28" s="62">
        <f>SUM(R28:AF28)</f>
        <v>10869.52</v>
      </c>
      <c r="AH28" s="40">
        <f t="shared" si="1"/>
        <v>86568.5</v>
      </c>
    </row>
    <row r="29" spans="1:34" ht="12.75">
      <c r="A29" s="47" t="s">
        <v>19</v>
      </c>
      <c r="C29" s="5"/>
      <c r="D29" s="5"/>
      <c r="F29" s="5"/>
      <c r="G29" s="5"/>
      <c r="H29" s="5"/>
      <c r="I29" s="5"/>
      <c r="J29" s="5">
        <f>8909*0+9/9*10635</f>
        <v>10635</v>
      </c>
      <c r="K29" s="5"/>
      <c r="L29" s="5"/>
      <c r="M29" s="62">
        <f t="shared" si="0"/>
        <v>10635</v>
      </c>
      <c r="N29" s="15"/>
      <c r="O29" s="57">
        <f>M46-O38-O40</f>
        <v>0</v>
      </c>
      <c r="P29" s="17"/>
      <c r="Q29" s="17"/>
      <c r="R29" s="5"/>
      <c r="S29" s="5"/>
      <c r="T29" s="5">
        <f>5/5*2031*0+9/9*9689*0+12/12*10621+8/8*15221600/15221600*280</f>
        <v>10901</v>
      </c>
      <c r="U29" s="5"/>
      <c r="V29" s="5">
        <f>1522/1522*10554.68*0+4/4*14809.68*0+5/5*34141.18*0+6/6*46017.23*0+7/7*150273.63*0+9/9*155809.73*0+10/10*193572.28*0+11/11*226361.08+7/7*15171522/15171522*12340/2*0</f>
        <v>226361.08</v>
      </c>
      <c r="W29" s="5"/>
      <c r="X29" s="5">
        <f>12727.5*0+3/3*40844.5*0+4/4*51432.5*0+5/5*66180.5*0+9/9*69998.5*0+11/11*75378.5</f>
        <v>75378.5</v>
      </c>
      <c r="Y29" s="5">
        <f>4/4*21388+8/8*21212+10/10*21927+12/12*23326</f>
        <v>87853</v>
      </c>
      <c r="Z29" s="5">
        <f>4/4*7272+8/8*7212+10/10*7456+12/12*7936</f>
        <v>29876</v>
      </c>
      <c r="AA29" s="5"/>
      <c r="AB29" s="5"/>
      <c r="AC29" s="5"/>
      <c r="AD29" s="5"/>
      <c r="AE29" s="5"/>
      <c r="AF29" s="5">
        <f>1522/1522*23282.18*0+3/3*51399.18*0+4/4*94902.18*0+5/5*131012.68*0+6/6*142888.73*0+7/7*247145.13*0+8/8*275569.13*0+9/9*292581.23*0+10/10*359726.78*0+11/11*397895.58*0+12/12*430089.58+15221600/15221600*280-AG29</f>
        <v>0</v>
      </c>
      <c r="AG29" s="62">
        <f>SUM(R29:AE29)-(1522/1522*(205799.1*0+8/8*60636.68)+15171522/15171522*(88367/2*0+8/8*10978/2))*0</f>
        <v>430369.57999999996</v>
      </c>
      <c r="AH29" s="40">
        <f t="shared" si="1"/>
        <v>-419734.57999999996</v>
      </c>
    </row>
    <row r="30" spans="1:34" ht="12" customHeight="1">
      <c r="A30" s="47" t="s">
        <v>30</v>
      </c>
      <c r="C30" s="5"/>
      <c r="D30" s="5"/>
      <c r="E30" s="5">
        <f>22314.05*0+3/3*33719.01*0+4/4*45123.97*0+5/5*56528.93*0+6/6*67933.89*0+7/7*79338.85*0+8/8*89752.07*0+9/9*100661.16*0+10/10*112066.12*0+11/11*123471.08*0+12/12*133884.3</f>
        <v>133884.3</v>
      </c>
      <c r="F30" s="5"/>
      <c r="G30" s="5"/>
      <c r="H30" s="5"/>
      <c r="I30" s="5"/>
      <c r="J30" s="5"/>
      <c r="K30" s="5"/>
      <c r="L30" s="5"/>
      <c r="M30" s="62">
        <f t="shared" si="0"/>
        <v>133884.3</v>
      </c>
      <c r="N30" s="15"/>
      <c r="O30" s="15"/>
      <c r="P30" s="21"/>
      <c r="Q30" s="21"/>
      <c r="R30" s="5"/>
      <c r="S30" s="5"/>
      <c r="T30" s="5">
        <f>9/9*141393</f>
        <v>141393</v>
      </c>
      <c r="U30" s="5"/>
      <c r="V30" s="5">
        <f>41188.4*0+3/3*42458.9*0+6/6*70425.9*0+7/7*77925.9*0+8/8*94865.9*0+11/11*96196.9</f>
        <v>96196.9</v>
      </c>
      <c r="W30" s="5"/>
      <c r="X30" s="5">
        <f>4/4*7260</f>
        <v>7260</v>
      </c>
      <c r="Y30" s="5">
        <f>4/4*245758+8/8*261291+10/10*276110+12/12*288075</f>
        <v>1071234</v>
      </c>
      <c r="Z30" s="5">
        <f>4/4*81434+8/8*88841+10/10*90446+12/12*92788</f>
        <v>353509</v>
      </c>
      <c r="AA30" s="5"/>
      <c r="AB30" s="5"/>
      <c r="AC30" s="5"/>
      <c r="AD30" s="5"/>
      <c r="AE30" s="5"/>
      <c r="AF30" s="5">
        <f>6/6*404877.9*0+7/7*412377.9*0+8/8*779449.9*0+9/9*920842.9*0+10/10*1287398.9*0+11/11*1288729.9*0+12/12*1669592.9-SUM(R30:AD30)</f>
        <v>0</v>
      </c>
      <c r="AG30" s="62">
        <f>SUM(R30:AF30)-(15171600/15171600*204/2*0+1600/1600*(311039*0+8/8*1053955.5))*0</f>
        <v>1669592.9</v>
      </c>
      <c r="AH30" s="10">
        <f t="shared" si="1"/>
        <v>-1535708.5999999999</v>
      </c>
    </row>
    <row r="31" spans="1:34" ht="12.75" hidden="1">
      <c r="A31" s="52" t="s">
        <v>52</v>
      </c>
      <c r="C31" s="5"/>
      <c r="D31" s="5"/>
      <c r="F31" s="5"/>
      <c r="G31" s="5"/>
      <c r="H31" s="5"/>
      <c r="I31" s="5"/>
      <c r="J31" s="5"/>
      <c r="K31" s="5"/>
      <c r="L31" s="5"/>
      <c r="M31" s="30">
        <f t="shared" si="0"/>
        <v>0</v>
      </c>
      <c r="N31" s="15"/>
      <c r="O31" s="15"/>
      <c r="P31" s="17"/>
      <c r="Q31" s="17"/>
      <c r="R31" s="5"/>
      <c r="S31" s="5"/>
      <c r="T31" s="5"/>
      <c r="U31" s="5"/>
      <c r="W31" s="5"/>
      <c r="Y31" s="5"/>
      <c r="Z31" s="5"/>
      <c r="AA31" s="5"/>
      <c r="AB31" s="5"/>
      <c r="AC31" s="5"/>
      <c r="AD31" s="5"/>
      <c r="AE31" s="5"/>
      <c r="AF31" s="5"/>
      <c r="AG31" s="30">
        <f aca="true" t="shared" si="2" ref="AG31:AG37">SUM(R31:AF31)-(15171600/15171600*204/2+1600/1600*311039+10751600/10751600)*0</f>
        <v>0</v>
      </c>
      <c r="AH31" s="40">
        <f aca="true" t="shared" si="3" ref="AH31:AH84">M31-AG31</f>
        <v>0</v>
      </c>
    </row>
    <row r="32" spans="1:34" ht="12.75" hidden="1">
      <c r="A32" s="52" t="s">
        <v>116</v>
      </c>
      <c r="C32" s="5"/>
      <c r="D32" s="5"/>
      <c r="F32" s="5"/>
      <c r="G32" s="5"/>
      <c r="H32" s="5"/>
      <c r="I32" s="5"/>
      <c r="J32" s="5"/>
      <c r="K32" s="5"/>
      <c r="L32" s="5"/>
      <c r="M32" s="30">
        <f t="shared" si="0"/>
        <v>0</v>
      </c>
      <c r="N32" s="15"/>
      <c r="O32" s="15"/>
      <c r="P32" s="17"/>
      <c r="Q32" s="17"/>
      <c r="R32" s="5"/>
      <c r="S32" s="5"/>
      <c r="T32" s="5"/>
      <c r="U32" s="5"/>
      <c r="W32" s="5"/>
      <c r="Y32" s="5"/>
      <c r="Z32" s="5"/>
      <c r="AA32" s="5"/>
      <c r="AB32" s="5"/>
      <c r="AC32" s="5"/>
      <c r="AD32" s="5"/>
      <c r="AE32" s="5"/>
      <c r="AF32" s="5"/>
      <c r="AG32" s="30">
        <f t="shared" si="2"/>
        <v>0</v>
      </c>
      <c r="AH32" s="40">
        <f t="shared" si="3"/>
        <v>0</v>
      </c>
    </row>
    <row r="33" spans="1:34" ht="12.75" hidden="1">
      <c r="A33" s="52" t="s">
        <v>53</v>
      </c>
      <c r="C33" s="5"/>
      <c r="D33" s="5"/>
      <c r="F33" s="5"/>
      <c r="G33" s="5"/>
      <c r="H33" s="5"/>
      <c r="I33" s="5"/>
      <c r="J33" s="5"/>
      <c r="K33" s="5"/>
      <c r="L33" s="5"/>
      <c r="M33" s="30">
        <f t="shared" si="0"/>
        <v>0</v>
      </c>
      <c r="N33" s="15"/>
      <c r="O33" s="15"/>
      <c r="P33" s="17"/>
      <c r="Q33" s="17"/>
      <c r="R33" s="5"/>
      <c r="S33" s="5"/>
      <c r="T33" s="5"/>
      <c r="U33" s="5"/>
      <c r="W33" s="5"/>
      <c r="Y33" s="5"/>
      <c r="Z33" s="5"/>
      <c r="AA33" s="5"/>
      <c r="AB33" s="5"/>
      <c r="AC33" s="5"/>
      <c r="AD33" s="5"/>
      <c r="AE33" s="5"/>
      <c r="AF33" s="5"/>
      <c r="AG33" s="30">
        <f t="shared" si="2"/>
        <v>0</v>
      </c>
      <c r="AH33" s="40">
        <f t="shared" si="3"/>
        <v>0</v>
      </c>
    </row>
    <row r="34" spans="1:34" ht="12.75" hidden="1">
      <c r="A34" s="52" t="s">
        <v>55</v>
      </c>
      <c r="C34" s="5"/>
      <c r="D34" s="5"/>
      <c r="F34" s="5"/>
      <c r="G34" s="5"/>
      <c r="H34" s="5"/>
      <c r="I34" s="5"/>
      <c r="J34" s="5"/>
      <c r="K34" s="5"/>
      <c r="L34" s="5"/>
      <c r="M34" s="30">
        <f t="shared" si="0"/>
        <v>0</v>
      </c>
      <c r="N34" s="15"/>
      <c r="O34" s="15"/>
      <c r="P34" s="17"/>
      <c r="Q34" s="17"/>
      <c r="R34" s="5"/>
      <c r="S34" s="5"/>
      <c r="T34" s="5"/>
      <c r="U34" s="5"/>
      <c r="W34" s="5"/>
      <c r="Y34" s="5"/>
      <c r="Z34" s="5"/>
      <c r="AA34" s="5"/>
      <c r="AB34" s="5"/>
      <c r="AC34" s="5"/>
      <c r="AD34" s="5"/>
      <c r="AE34" s="5"/>
      <c r="AF34" s="5"/>
      <c r="AG34" s="30">
        <f t="shared" si="2"/>
        <v>0</v>
      </c>
      <c r="AH34" s="40">
        <f t="shared" si="3"/>
        <v>0</v>
      </c>
    </row>
    <row r="35" spans="1:34" ht="12.75" hidden="1">
      <c r="A35" s="52" t="s">
        <v>91</v>
      </c>
      <c r="C35" s="5"/>
      <c r="D35" s="5"/>
      <c r="F35" s="5"/>
      <c r="G35" s="5"/>
      <c r="H35" s="5"/>
      <c r="I35" s="5"/>
      <c r="J35" s="5"/>
      <c r="K35" s="5"/>
      <c r="L35" s="5"/>
      <c r="M35" s="30">
        <f t="shared" si="0"/>
        <v>0</v>
      </c>
      <c r="N35" s="15"/>
      <c r="O35" s="15"/>
      <c r="P35" s="17"/>
      <c r="Q35" s="17"/>
      <c r="R35" s="5"/>
      <c r="S35" s="5"/>
      <c r="T35" s="5"/>
      <c r="U35" s="5"/>
      <c r="W35" s="5"/>
      <c r="Y35" s="5"/>
      <c r="Z35" s="5"/>
      <c r="AA35" s="5"/>
      <c r="AB35" s="5"/>
      <c r="AC35" s="5"/>
      <c r="AD35" s="5"/>
      <c r="AE35" s="5"/>
      <c r="AF35" s="5"/>
      <c r="AG35" s="30">
        <f t="shared" si="2"/>
        <v>0</v>
      </c>
      <c r="AH35" s="40">
        <f t="shared" si="3"/>
        <v>0</v>
      </c>
    </row>
    <row r="36" spans="1:34" ht="12.75" hidden="1">
      <c r="A36" s="52" t="s">
        <v>84</v>
      </c>
      <c r="C36" s="5"/>
      <c r="D36" s="5"/>
      <c r="F36" s="5"/>
      <c r="G36" s="5"/>
      <c r="H36" s="5"/>
      <c r="I36" s="5"/>
      <c r="J36" s="5"/>
      <c r="K36" s="5"/>
      <c r="L36" s="5"/>
      <c r="M36" s="30">
        <f aca="true" t="shared" si="4" ref="M36:M67">SUM(B36:L36)</f>
        <v>0</v>
      </c>
      <c r="N36" s="15"/>
      <c r="O36" s="15"/>
      <c r="P36" s="17"/>
      <c r="Q36" s="17"/>
      <c r="R36" s="5"/>
      <c r="S36" s="5"/>
      <c r="T36" s="5"/>
      <c r="U36" s="5"/>
      <c r="W36" s="5"/>
      <c r="Y36" s="5"/>
      <c r="Z36" s="5"/>
      <c r="AA36" s="5"/>
      <c r="AB36" s="5"/>
      <c r="AC36" s="5"/>
      <c r="AD36" s="5"/>
      <c r="AE36" s="5"/>
      <c r="AF36" s="5"/>
      <c r="AG36" s="30">
        <f t="shared" si="2"/>
        <v>0</v>
      </c>
      <c r="AH36" s="40">
        <f t="shared" si="3"/>
        <v>0</v>
      </c>
    </row>
    <row r="37" spans="1:34" ht="12.75" hidden="1">
      <c r="A37" s="52" t="s">
        <v>117</v>
      </c>
      <c r="C37" s="5"/>
      <c r="D37" s="5"/>
      <c r="F37" s="5"/>
      <c r="G37" s="5"/>
      <c r="H37" s="5"/>
      <c r="I37" s="5"/>
      <c r="J37" s="5"/>
      <c r="K37" s="5"/>
      <c r="L37" s="5"/>
      <c r="M37" s="30">
        <f t="shared" si="4"/>
        <v>0</v>
      </c>
      <c r="N37" s="15"/>
      <c r="O37" s="15"/>
      <c r="P37" s="17"/>
      <c r="Q37" s="17"/>
      <c r="R37" s="5"/>
      <c r="S37" s="5"/>
      <c r="T37" s="5"/>
      <c r="U37" s="5"/>
      <c r="W37" s="5"/>
      <c r="Y37" s="5"/>
      <c r="Z37" s="5"/>
      <c r="AA37" s="5"/>
      <c r="AB37" s="5"/>
      <c r="AC37" s="5"/>
      <c r="AD37" s="5"/>
      <c r="AE37" s="5"/>
      <c r="AF37" s="5"/>
      <c r="AG37" s="30">
        <f t="shared" si="2"/>
        <v>0</v>
      </c>
      <c r="AH37" s="40">
        <f t="shared" si="3"/>
        <v>0</v>
      </c>
    </row>
    <row r="38" spans="1:34" ht="12" customHeight="1">
      <c r="A38" s="47" t="s">
        <v>11</v>
      </c>
      <c r="C38" s="5">
        <f>216612*0+3/3*361203.3*0+4/4*477655.47*0+5/5*552320.69*0+6/6*655020.69*0+7/7*722759.82*0+8/8*797316.34*0+9/9*907777.21*0+10/10*1006607.64*0+11/11*1108055.47*0+12/12*1226516.34</f>
        <v>1226516.34</v>
      </c>
      <c r="D38" s="5"/>
      <c r="E38" s="5">
        <f>635.5*0+3/3*3056.03*0+4/4*4708.83*0+5/5*5296.4*0+6/6*5745.14*0+7/7*6387.25*0+8/8*7490.49*0+9/9*8265.19*0+10/10*8672.61*0+11/11*9044.49*0+12/12*11559.33</f>
        <v>11559.33</v>
      </c>
      <c r="F38" s="5"/>
      <c r="G38" s="5"/>
      <c r="H38" s="5"/>
      <c r="I38" s="5"/>
      <c r="J38" s="5"/>
      <c r="K38" s="5"/>
      <c r="L38" s="5"/>
      <c r="M38" s="63">
        <f t="shared" si="4"/>
        <v>1238075.6700000002</v>
      </c>
      <c r="N38" s="23" t="s">
        <v>40</v>
      </c>
      <c r="O38" s="57">
        <f>3754957*0+4/4*5004895*0+5/5*6255933*0+6/6*7510858*0+7/7*8755366*0+8/8*9990402*0+9/9*11219414*0+10/10*12449912*0+11/11*13679838*0+12/12*14902564</f>
        <v>14902564</v>
      </c>
      <c r="P38" s="17"/>
      <c r="Q38" s="17"/>
      <c r="R38" s="5"/>
      <c r="S38" s="5"/>
      <c r="T38" s="5"/>
      <c r="U38" s="5"/>
      <c r="V38" s="5">
        <f>6000*0+5/5*8500*0+7/7*12750*0+8/8*20550*0+9/9*26500*0+11/11*30950*0+12/12*46350</f>
        <v>46350</v>
      </c>
      <c r="W38" s="5"/>
      <c r="X38" s="5">
        <f>96959.29*0+3/3*190577.03*0+4/4*245716.41*0+5/5*287069.05*0+6/6*324869.18*0+7/7*370690.71*0+8/8*428105.76*0+9/9*487686.62*0+10/10*531816.57*0+11/11*603075.2*0+12/12*668912.43</f>
        <v>668912.43</v>
      </c>
      <c r="Y38" s="5">
        <f>4/4*150669+8/8*157071+10/10*142605+12/12*150467</f>
        <v>600812</v>
      </c>
      <c r="Z38" s="5">
        <f>4/4*42928+8/8*44139+10/10*40180+12/12*45006</f>
        <v>172253</v>
      </c>
      <c r="AA38" s="5"/>
      <c r="AB38" s="5"/>
      <c r="AC38" s="5"/>
      <c r="AD38" s="5"/>
      <c r="AE38" s="5"/>
      <c r="AF38" s="4">
        <f>AG38-843462.76*0-9/9*908993.62*0-10/10*1135908.57*0-11/11*1211617.2*0-12/12*1488327.43</f>
        <v>0</v>
      </c>
      <c r="AG38" s="63">
        <f>SUM(R38:AE38)</f>
        <v>1488327.4300000002</v>
      </c>
      <c r="AH38" s="40">
        <f t="shared" si="3"/>
        <v>-250251.76</v>
      </c>
    </row>
    <row r="39" spans="1:34" ht="12.75" customHeight="1" hidden="1">
      <c r="A39" s="47" t="s">
        <v>12</v>
      </c>
      <c r="C39" s="5"/>
      <c r="D39" s="5"/>
      <c r="F39" s="5"/>
      <c r="G39" s="5"/>
      <c r="H39" s="5"/>
      <c r="I39" s="5"/>
      <c r="J39" s="5"/>
      <c r="K39" s="5"/>
      <c r="L39" s="5"/>
      <c r="M39" s="63">
        <f t="shared" si="4"/>
        <v>0</v>
      </c>
      <c r="P39" s="17"/>
      <c r="Q39" s="17"/>
      <c r="R39" s="5"/>
      <c r="S39" s="5"/>
      <c r="T39" s="5"/>
      <c r="U39" s="5"/>
      <c r="W39" s="5"/>
      <c r="Y39" s="5"/>
      <c r="Z39" s="5"/>
      <c r="AA39" s="5"/>
      <c r="AB39" s="5"/>
      <c r="AC39" s="5"/>
      <c r="AD39" s="5"/>
      <c r="AE39" s="5"/>
      <c r="AF39" s="5"/>
      <c r="AG39" s="63">
        <f>SUM(R39:AF39)</f>
        <v>0</v>
      </c>
      <c r="AH39" s="40">
        <f t="shared" si="3"/>
        <v>0</v>
      </c>
    </row>
    <row r="40" spans="1:34" ht="12" customHeight="1">
      <c r="A40" s="51" t="s">
        <v>118</v>
      </c>
      <c r="C40" s="5">
        <f>67985.32*0+3/3*80664.08*0+4/4*86438.22*0+5/5*87968.72*0+9/9*99699.62*0+10/10*190390.2*0+11/11*210956.24*0+12/12*293333.45</f>
        <v>293333.45</v>
      </c>
      <c r="D40" s="5"/>
      <c r="E40" s="5">
        <f>30948.68*0+3/3*31692.44*0+4/4*43716.56*0+6/6*47807.24*0+9/9*53236.69*0+10/10*54311.01*0+11/11*55922.49*0+12/12*66376.45+385616/385616*5702.16</f>
        <v>72078.61</v>
      </c>
      <c r="F40" s="5"/>
      <c r="G40" s="5"/>
      <c r="H40" s="5"/>
      <c r="I40" s="5"/>
      <c r="J40" s="5">
        <f>44/44*9/9*1771+12/12*91113/91113*2523.97</f>
        <v>4294.969999999999</v>
      </c>
      <c r="K40" s="5"/>
      <c r="L40" s="5"/>
      <c r="M40" s="63">
        <f t="shared" si="4"/>
        <v>369707.02999999997</v>
      </c>
      <c r="N40" s="23" t="s">
        <v>103</v>
      </c>
      <c r="O40" s="9">
        <f>441892*0+629145.56*0+4/4*881738*0+5/5*1101661*0+6/6*1321584*0+7/7*1542061*0+8/8*1762538*0+9/9*1990698*0+10/10*2219058*0+11/11*2447218*0+12/12*2675378</f>
        <v>2675378</v>
      </c>
      <c r="P40" s="17"/>
      <c r="Q40" s="17"/>
      <c r="R40" s="5">
        <f>3/3*3319/3319*1431.4*0+11/11*10859.46</f>
        <v>10859.46</v>
      </c>
      <c r="S40" s="5"/>
      <c r="T40" s="5">
        <f>44/44*9/9*1771</f>
        <v>1771</v>
      </c>
      <c r="U40" s="5"/>
      <c r="W40" s="5"/>
      <c r="X40" s="5">
        <f>44/44*11186*0*9/9+3319/3319*56212.23*0+3/3*94506.23*0+4/4*109433.5*0+5/5*139683.5*0+6/6*156523.03*0+7/7*160723.03*0+9/9*179723.03*0+10/10*245093.03*0+11/11*269323.11*0+12/12*421306.59</f>
        <v>421306.59</v>
      </c>
      <c r="Y40" s="5">
        <f>4/4*76270+8/8*92981+10/10*91286+12/12*98378</f>
        <v>358915</v>
      </c>
      <c r="Z40" s="5">
        <f>4/4*25142+8/8*27411+10/10*31038+12/12*31422</f>
        <v>115013</v>
      </c>
      <c r="AA40" s="5"/>
      <c r="AB40" s="5"/>
      <c r="AC40" s="5"/>
      <c r="AD40" s="5"/>
      <c r="AE40" s="5"/>
      <c r="AF40" s="5">
        <f>44/44*(11186*0*9/9+9/9*1771)+3319/3319*56212.23*0+3/3*95937.63*0+4/4*212276.9*0+5/5*242526.9*0+6/6*259366.43*0+7/7*263566.43*0+8/8*383958.43*0+9/9*402958.43*0+10/10*590652.43*0+11/11*624310.57*0+12/12*906094.05-AG40</f>
        <v>0</v>
      </c>
      <c r="AG40" s="63">
        <f>SUM(R40:AE40)-44/44*7658*0</f>
        <v>907865.05</v>
      </c>
      <c r="AH40" s="40">
        <f t="shared" si="3"/>
        <v>-538158.02</v>
      </c>
    </row>
    <row r="41" spans="1:34" ht="12" customHeight="1">
      <c r="A41" s="47" t="s">
        <v>13</v>
      </c>
      <c r="C41" s="5"/>
      <c r="D41" s="5"/>
      <c r="E41" s="5">
        <f>1938*0+3/3*8970*0+4/4*11220*0+5/5*21444*0+6/6*25236*0+7/7*28038*0+8/8*31770*0+10/10*37110*0+11/11*41754*0+12/12*43026</f>
        <v>43026</v>
      </c>
      <c r="F41" s="5"/>
      <c r="G41" s="5"/>
      <c r="H41" s="5"/>
      <c r="I41" s="5"/>
      <c r="J41" s="5"/>
      <c r="K41" s="5"/>
      <c r="L41" s="5"/>
      <c r="M41" s="25">
        <f t="shared" si="4"/>
        <v>43026</v>
      </c>
      <c r="N41" s="23" t="s">
        <v>35</v>
      </c>
      <c r="O41" s="12">
        <f>661315*0+4/4*834311.25*0+5/5*885310.46*0+6/6*942153.15*0+7/7*1208176.43*0+8/8*1260016.04*0+9/9*1428428.58*0+10/10*1617263.61*0+11/11*1671396.55*0+12/12*1733965.41</f>
        <v>1733965.41</v>
      </c>
      <c r="P41" s="17"/>
      <c r="Q41" s="17"/>
      <c r="R41" s="5"/>
      <c r="S41" s="5"/>
      <c r="T41" s="5"/>
      <c r="U41" s="5"/>
      <c r="W41" s="5"/>
      <c r="Y41" s="5"/>
      <c r="Z41" s="5"/>
      <c r="AA41" s="5"/>
      <c r="AB41" s="5"/>
      <c r="AC41" s="5"/>
      <c r="AD41" s="5"/>
      <c r="AE41" s="5"/>
      <c r="AF41" s="5"/>
      <c r="AG41" s="29">
        <f>SUM(R41:AF41)</f>
        <v>0</v>
      </c>
      <c r="AH41" s="40">
        <f t="shared" si="3"/>
        <v>43026</v>
      </c>
    </row>
    <row r="42" spans="1:34" ht="12" customHeight="1">
      <c r="A42" s="47" t="s">
        <v>14</v>
      </c>
      <c r="C42" s="5">
        <f>24842.44*0+3/3*28602.72*0+4/4*43478.62*0+5/5*66345.97*0+6/6*99246.74*0+7/7*114130.81*0+8/8*119105.74*0+9/9*127518.93*0+10/10*128775.06*0+11/11*132494.07</f>
        <v>132494.07</v>
      </c>
      <c r="D42" s="5"/>
      <c r="F42" s="5"/>
      <c r="G42" s="5"/>
      <c r="H42" s="5">
        <f>8/8*840</f>
        <v>840</v>
      </c>
      <c r="I42" s="5"/>
      <c r="J42" s="5">
        <f>0.1</f>
        <v>0.1</v>
      </c>
      <c r="K42" s="5"/>
      <c r="L42" s="5"/>
      <c r="M42" s="25">
        <f t="shared" si="4"/>
        <v>133334.17</v>
      </c>
      <c r="N42" s="23" t="s">
        <v>36</v>
      </c>
      <c r="O42" s="57">
        <f>674594.17*0+4/4*850895.07*0+5/5*914461.98*0+6/6*1085884.3*0+7/7*1238775.59*0+8/8*1296731.84*0+9/9*1505069.01*0+10/10*1704979.14*0+11/11*1887994.99*0+12/12*2018780.9</f>
        <v>2018780.9</v>
      </c>
      <c r="P42" s="17"/>
      <c r="Q42" s="17"/>
      <c r="R42" s="5">
        <f>107.27*0+3/3*658.27*0+6/6*1133.04*0+8/8*1686.84*0+9/9*1776.84*0+10/10*2144.69*0+11/11*2235.35*0+12/12*2384.1</f>
        <v>2384.1</v>
      </c>
      <c r="S42" s="5"/>
      <c r="T42" s="5">
        <f>41243.77*0+3/3*31243.77*0+11/11*86818.06*0+12/12*100726.06</f>
        <v>100726.06</v>
      </c>
      <c r="U42" s="5"/>
      <c r="V42" s="5">
        <f>2444*0+6/6*3754*0+11/11*11554</f>
        <v>11554</v>
      </c>
      <c r="W42" s="5"/>
      <c r="X42" s="5">
        <f>1454.73*0+3/3*2580.16*0+5/5*10264.22*0+6/6*10579.22*0+7/7*11412.92*0+8/8*13691.62*0+9/9*14142.42*0+10/10*17667.31*0+11/11*18570.43*0+12/12*20041.18</f>
        <v>20041.18</v>
      </c>
      <c r="Y42" s="5">
        <f>4/4*17521+8/8*17480+10/10*17851+12/12*17809</f>
        <v>70661</v>
      </c>
      <c r="Z42" s="5">
        <f>4/4*5957+8/8*5943+10/10*6069+12/12*6055</f>
        <v>24024</v>
      </c>
      <c r="AA42" s="5"/>
      <c r="AB42" s="5"/>
      <c r="AC42" s="5"/>
      <c r="AD42" s="5">
        <f>549/549*0.2*0+6/6*0.7*0+7/7*0.69*0+8/8*0.6+9/9*-0.32+10/10*0.32+11/11*0.41</f>
        <v>1.01</v>
      </c>
      <c r="AE42" s="5"/>
      <c r="AF42" s="5">
        <f>45249.97*0+3/3*36926.4*0+4/4*60404.4*0+5/5*68088.46*0+6/6*70188.73*0+7/7*71022.42*0+8/8*97277.83*0+9/9*97818.31*0+10/10*125631.37*0+11/11*189999.85*0+12/12*229391.35-AG42</f>
        <v>0</v>
      </c>
      <c r="AG42" s="79">
        <f>SUM(R42:AE42)-(24730.62+532/532*1446)*0</f>
        <v>229391.35</v>
      </c>
      <c r="AH42" s="40">
        <f t="shared" si="3"/>
        <v>-96057.18</v>
      </c>
    </row>
    <row r="43" spans="1:34" ht="12" customHeight="1">
      <c r="A43" s="47" t="s">
        <v>119</v>
      </c>
      <c r="C43" s="5"/>
      <c r="D43" s="5"/>
      <c r="F43" s="5"/>
      <c r="G43" s="5"/>
      <c r="H43" s="5"/>
      <c r="I43" s="5"/>
      <c r="J43" s="5"/>
      <c r="K43" s="5"/>
      <c r="L43" s="5"/>
      <c r="M43" s="32">
        <f t="shared" si="4"/>
        <v>0</v>
      </c>
      <c r="N43" s="17" t="s">
        <v>38</v>
      </c>
      <c r="O43" s="9">
        <f>8970*0+4/4*11220*0+5/5*21444*0+6/6*25236*0+7/7*28038*0+8/8*31770*0+10/10*37110*0+11/11*41754*0+12/12*43026</f>
        <v>43026</v>
      </c>
      <c r="P43" s="17"/>
      <c r="Q43" s="17"/>
      <c r="R43" s="5"/>
      <c r="S43" s="5"/>
      <c r="T43" s="5"/>
      <c r="U43" s="5"/>
      <c r="W43" s="5"/>
      <c r="X43" s="5">
        <f>705*0+3/3*4849*0+4/4*5194*0+5/5*5599*0+6/6*9471*0+7/7*9816*0+8/8*10176*0+9/9*13173*0+10/10*13563*0+11/11*13698*0+12/12*16277</f>
        <v>16277</v>
      </c>
      <c r="Y43" s="5"/>
      <c r="Z43" s="5"/>
      <c r="AA43" s="5"/>
      <c r="AB43" s="5"/>
      <c r="AC43" s="5"/>
      <c r="AD43" s="5"/>
      <c r="AE43" s="5"/>
      <c r="AF43" s="5"/>
      <c r="AG43" s="32">
        <f>SUM(R43:AF43)</f>
        <v>16277</v>
      </c>
      <c r="AH43" s="40">
        <f t="shared" si="3"/>
        <v>-16277</v>
      </c>
    </row>
    <row r="44" spans="1:34" ht="12" customHeight="1">
      <c r="A44" s="47" t="s">
        <v>120</v>
      </c>
      <c r="C44" s="5"/>
      <c r="D44" s="5"/>
      <c r="F44" s="5"/>
      <c r="G44" s="5"/>
      <c r="H44" s="5"/>
      <c r="I44" s="5"/>
      <c r="J44" s="5"/>
      <c r="K44" s="5"/>
      <c r="L44" s="5"/>
      <c r="M44" s="32">
        <f t="shared" si="4"/>
        <v>0</v>
      </c>
      <c r="N44" s="17" t="s">
        <v>51</v>
      </c>
      <c r="O44" s="9">
        <f>11/11*8759.84</f>
        <v>8759.84</v>
      </c>
      <c r="P44" s="17"/>
      <c r="Q44" s="17"/>
      <c r="R44" s="5"/>
      <c r="S44" s="5"/>
      <c r="T44" s="5"/>
      <c r="U44" s="5"/>
      <c r="W44" s="5"/>
      <c r="X44" s="5">
        <f>780*0+3/3*4124*0+4/4*4484*0+5/5*4829*0+6/6*7740*0+7/7*8130*0+8/8*8520*0+9/9*12278*0+10/10*12638*0+11/11*12788*0+12/12*14376</f>
        <v>14376</v>
      </c>
      <c r="Y44" s="5"/>
      <c r="Z44" s="5"/>
      <c r="AA44" s="5"/>
      <c r="AB44" s="5"/>
      <c r="AC44" s="5"/>
      <c r="AD44" s="5"/>
      <c r="AE44" s="5"/>
      <c r="AF44" s="5"/>
      <c r="AG44" s="32">
        <f>SUM(R44:AF44)</f>
        <v>14376</v>
      </c>
      <c r="AH44" s="40">
        <f t="shared" si="3"/>
        <v>-14376</v>
      </c>
    </row>
    <row r="45" spans="1:34" ht="21.75" customHeight="1">
      <c r="A45" s="51" t="s">
        <v>146</v>
      </c>
      <c r="C45" s="5">
        <f>7187.21*0+3/3*9805.24*0+4/4*15723.92*0+5/5*19404.7*0+6/6*22551.64*0+7/7*24782.92*0+8/8*29888.42*0+9/9*33227.08*0+10/10*37469.81*0+11/11*41022.5*0+12/12*42554.65</f>
        <v>42554.65</v>
      </c>
      <c r="D45" s="5"/>
      <c r="F45" s="5"/>
      <c r="G45" s="5"/>
      <c r="H45" s="5"/>
      <c r="I45" s="5"/>
      <c r="J45" s="5">
        <f>3/3*495.84*0+4/4*743.76*0+5/5*1239.6</f>
        <v>1239.6</v>
      </c>
      <c r="K45" s="5"/>
      <c r="L45" s="5"/>
      <c r="M45" s="32">
        <f t="shared" si="4"/>
        <v>43794.25</v>
      </c>
      <c r="N45" s="42" t="s">
        <v>104</v>
      </c>
      <c r="O45" s="57"/>
      <c r="P45" s="17"/>
      <c r="Q45" s="17"/>
      <c r="R45" s="5"/>
      <c r="S45" s="5"/>
      <c r="T45" s="5"/>
      <c r="U45" s="5"/>
      <c r="W45" s="5"/>
      <c r="X45" s="5">
        <f>3/3*5167/5167*5700+10/10*(4400+1900)</f>
        <v>12000</v>
      </c>
      <c r="Y45" s="5">
        <f>4/4*248854+8/8*242035+10/10*307967+12/12*272076</f>
        <v>1070932</v>
      </c>
      <c r="Z45" s="5">
        <f>4/4*84611+8/8*81958+10/10*104711+12/12*91747</f>
        <v>363027</v>
      </c>
      <c r="AA45" s="5"/>
      <c r="AB45" s="5"/>
      <c r="AC45" s="5"/>
      <c r="AD45" s="5"/>
      <c r="AE45" s="5"/>
      <c r="AF45" s="5"/>
      <c r="AG45" s="32">
        <f>SUM(R45:AF45)</f>
        <v>1445959</v>
      </c>
      <c r="AH45" s="10">
        <f t="shared" si="3"/>
        <v>-1402164.75</v>
      </c>
    </row>
    <row r="46" spans="1:34" s="20" customFormat="1" ht="12.75">
      <c r="A46" s="13" t="s">
        <v>157</v>
      </c>
      <c r="C46" s="4"/>
      <c r="D46" s="4"/>
      <c r="E46" s="4">
        <f>1/1*(1250537+220946)+2/2*(1253840+220946)+3/3*(1250580+219423)+4/4*(1249938+220423)+5/5*(1251038+219923)+6/6*(1254925+219923)+7/7*(1244508+220477)+8/8*(1235036+220477)+9/9*(1229012+228160)+10/10*(1230498+228360)+11/11*(1229926+228160)+12/12*(1222726+228160)</f>
        <v>17577942</v>
      </c>
      <c r="F46" s="4"/>
      <c r="G46" s="4"/>
      <c r="H46" s="4"/>
      <c r="I46" s="4"/>
      <c r="J46" s="4"/>
      <c r="K46" s="4"/>
      <c r="L46" s="4"/>
      <c r="M46" s="62">
        <f t="shared" si="4"/>
        <v>17577942</v>
      </c>
      <c r="N46" s="23" t="s">
        <v>37</v>
      </c>
      <c r="O46" s="73">
        <f>SUM(O38:O45)</f>
        <v>21382474.15</v>
      </c>
      <c r="P46" s="59"/>
      <c r="Q46" s="59"/>
      <c r="R46" s="4"/>
      <c r="S46" s="4"/>
      <c r="T46" s="4"/>
      <c r="U46" s="4"/>
      <c r="V46" s="4"/>
      <c r="W46" s="4"/>
      <c r="X46" s="4"/>
      <c r="Y46" s="5"/>
      <c r="Z46" s="5"/>
      <c r="AA46" s="5"/>
      <c r="AB46" s="4"/>
      <c r="AC46" s="4"/>
      <c r="AD46" s="4"/>
      <c r="AE46" s="4"/>
      <c r="AF46" s="4"/>
      <c r="AG46" s="68">
        <f>SUM(R46:AF46)</f>
        <v>0</v>
      </c>
      <c r="AH46" s="40">
        <f t="shared" si="3"/>
        <v>17577942</v>
      </c>
    </row>
    <row r="47" spans="1:34" s="6" customFormat="1" ht="12.75" hidden="1">
      <c r="A47" s="13" t="s">
        <v>94</v>
      </c>
      <c r="C47" s="7"/>
      <c r="D47" s="7"/>
      <c r="E47" s="4"/>
      <c r="F47" s="7"/>
      <c r="G47" s="7"/>
      <c r="H47" s="7"/>
      <c r="I47" s="7"/>
      <c r="J47" s="7"/>
      <c r="K47" s="7"/>
      <c r="L47" s="7"/>
      <c r="M47" s="62">
        <f t="shared" si="4"/>
        <v>0</v>
      </c>
      <c r="P47" s="17"/>
      <c r="Q47" s="17"/>
      <c r="R47" s="7"/>
      <c r="S47" s="7"/>
      <c r="T47" s="7"/>
      <c r="U47" s="7"/>
      <c r="V47" s="7"/>
      <c r="W47" s="7"/>
      <c r="X47" s="7"/>
      <c r="Y47" s="5"/>
      <c r="Z47" s="5"/>
      <c r="AA47" s="5"/>
      <c r="AB47" s="7"/>
      <c r="AC47" s="7"/>
      <c r="AD47" s="7"/>
      <c r="AE47" s="8"/>
      <c r="AF47" s="8"/>
      <c r="AG47" s="68">
        <f>SUM(R47:AF47)</f>
        <v>0</v>
      </c>
      <c r="AH47" s="46">
        <f t="shared" si="3"/>
        <v>0</v>
      </c>
    </row>
    <row r="48" spans="1:34" s="6" customFormat="1" ht="12.75" hidden="1">
      <c r="A48" s="13" t="s">
        <v>99</v>
      </c>
      <c r="C48" s="7"/>
      <c r="D48" s="7"/>
      <c r="E48" s="4"/>
      <c r="F48" s="7"/>
      <c r="G48" s="7"/>
      <c r="H48" s="7"/>
      <c r="I48" s="7"/>
      <c r="J48" s="7"/>
      <c r="K48" s="7"/>
      <c r="L48" s="7"/>
      <c r="M48" s="62">
        <f t="shared" si="4"/>
        <v>0</v>
      </c>
      <c r="N48" s="17"/>
      <c r="O48" s="17"/>
      <c r="P48" s="17"/>
      <c r="Q48" s="17"/>
      <c r="R48" s="7"/>
      <c r="S48" s="7"/>
      <c r="T48" s="7"/>
      <c r="U48" s="7"/>
      <c r="V48" s="7"/>
      <c r="W48" s="7"/>
      <c r="X48" s="7"/>
      <c r="Y48" s="5"/>
      <c r="Z48" s="5"/>
      <c r="AA48" s="5"/>
      <c r="AB48" s="7"/>
      <c r="AC48" s="7"/>
      <c r="AD48" s="7"/>
      <c r="AE48" s="8"/>
      <c r="AF48" s="8"/>
      <c r="AG48" s="68">
        <f aca="true" t="shared" si="5" ref="AG48:AG53">SUM(R48:AF48)</f>
        <v>0</v>
      </c>
      <c r="AH48" s="46">
        <f t="shared" si="3"/>
        <v>0</v>
      </c>
    </row>
    <row r="49" spans="1:34" s="6" customFormat="1" ht="12.75" customHeight="1" hidden="1">
      <c r="A49" s="13" t="s">
        <v>131</v>
      </c>
      <c r="C49" s="7"/>
      <c r="D49" s="7"/>
      <c r="E49" s="4"/>
      <c r="F49" s="7"/>
      <c r="G49" s="7"/>
      <c r="H49" s="7"/>
      <c r="I49" s="7"/>
      <c r="J49" s="7"/>
      <c r="K49" s="7"/>
      <c r="L49" s="7"/>
      <c r="M49" s="62">
        <f t="shared" si="4"/>
        <v>0</v>
      </c>
      <c r="N49" s="23">
        <f>E123-O46-2007676.51*0-2017/2017*2/2*3557437.33*0</f>
        <v>0</v>
      </c>
      <c r="O49" s="73">
        <f>1.2/1.2*3559099.11*0+3/3*5481949.53*0+4/4*7177046.75*0+5/5*8721788.23*0+7/7*12260434.98*0+8/8*13800557.36*0+9/9*15594397.12*0+10/10*17585601.47*0+11/11*19286455.42*0+12/12*20906339.25*0+2017/2017*2/2*3557437.33-O46</f>
        <v>-17825036.82</v>
      </c>
      <c r="P49" s="17"/>
      <c r="Q49" s="17"/>
      <c r="R49" s="7"/>
      <c r="S49" s="7"/>
      <c r="T49" s="7"/>
      <c r="U49" s="7"/>
      <c r="V49" s="7"/>
      <c r="W49" s="7"/>
      <c r="X49" s="7"/>
      <c r="Y49" s="5"/>
      <c r="Z49" s="5"/>
      <c r="AA49" s="5"/>
      <c r="AB49" s="7"/>
      <c r="AC49" s="7"/>
      <c r="AD49" s="7"/>
      <c r="AE49" s="8"/>
      <c r="AF49" s="8"/>
      <c r="AG49" s="68">
        <f t="shared" si="5"/>
        <v>0</v>
      </c>
      <c r="AH49" s="46">
        <f t="shared" si="3"/>
        <v>0</v>
      </c>
    </row>
    <row r="50" spans="1:34" s="6" customFormat="1" ht="12.75" customHeight="1" hidden="1">
      <c r="A50" s="13" t="s">
        <v>101</v>
      </c>
      <c r="C50" s="7"/>
      <c r="D50" s="7"/>
      <c r="E50" s="4"/>
      <c r="F50" s="7"/>
      <c r="G50" s="7"/>
      <c r="H50" s="7"/>
      <c r="I50" s="7"/>
      <c r="J50" s="7"/>
      <c r="K50" s="7"/>
      <c r="L50" s="7"/>
      <c r="M50" s="62">
        <f t="shared" si="4"/>
        <v>0</v>
      </c>
      <c r="N50" s="17"/>
      <c r="O50" s="17"/>
      <c r="P50" s="17"/>
      <c r="Q50" s="17"/>
      <c r="R50" s="7"/>
      <c r="S50" s="7"/>
      <c r="T50" s="7"/>
      <c r="U50" s="7"/>
      <c r="V50" s="7"/>
      <c r="W50" s="7"/>
      <c r="X50" s="7"/>
      <c r="Y50" s="5"/>
      <c r="Z50" s="5"/>
      <c r="AA50" s="5"/>
      <c r="AB50" s="7"/>
      <c r="AC50" s="7"/>
      <c r="AD50" s="7"/>
      <c r="AE50" s="8"/>
      <c r="AF50" s="8"/>
      <c r="AG50" s="68">
        <f t="shared" si="5"/>
        <v>0</v>
      </c>
      <c r="AH50" s="46">
        <f t="shared" si="3"/>
        <v>0</v>
      </c>
    </row>
    <row r="51" spans="1:34" s="6" customFormat="1" ht="12.75" customHeight="1" hidden="1">
      <c r="A51" s="13" t="s">
        <v>107</v>
      </c>
      <c r="C51" s="7"/>
      <c r="D51" s="7"/>
      <c r="E51" s="4"/>
      <c r="F51" s="7"/>
      <c r="G51" s="7"/>
      <c r="H51" s="7"/>
      <c r="I51" s="7"/>
      <c r="J51" s="7"/>
      <c r="K51" s="7"/>
      <c r="L51" s="7"/>
      <c r="M51" s="62">
        <f t="shared" si="4"/>
        <v>0</v>
      </c>
      <c r="N51" s="17"/>
      <c r="O51" s="17"/>
      <c r="P51" s="17"/>
      <c r="Q51" s="17"/>
      <c r="R51" s="7"/>
      <c r="S51" s="7"/>
      <c r="T51" s="7"/>
      <c r="U51" s="7"/>
      <c r="V51" s="7"/>
      <c r="W51" s="7"/>
      <c r="X51" s="7"/>
      <c r="Y51" s="5"/>
      <c r="Z51" s="5"/>
      <c r="AA51" s="5"/>
      <c r="AB51" s="7"/>
      <c r="AC51" s="7"/>
      <c r="AD51" s="7"/>
      <c r="AE51" s="8"/>
      <c r="AF51" s="8"/>
      <c r="AG51" s="68">
        <f t="shared" si="5"/>
        <v>0</v>
      </c>
      <c r="AH51" s="46">
        <f t="shared" si="3"/>
        <v>0</v>
      </c>
    </row>
    <row r="52" spans="1:34" s="6" customFormat="1" ht="12.75" hidden="1">
      <c r="A52" s="13" t="s">
        <v>138</v>
      </c>
      <c r="C52" s="7"/>
      <c r="D52" s="7"/>
      <c r="E52" s="4"/>
      <c r="F52" s="7"/>
      <c r="G52" s="7"/>
      <c r="H52" s="7"/>
      <c r="I52" s="7"/>
      <c r="J52" s="7"/>
      <c r="K52" s="7"/>
      <c r="L52" s="7"/>
      <c r="M52" s="62">
        <f t="shared" si="4"/>
        <v>0</v>
      </c>
      <c r="N52" s="17"/>
      <c r="O52" s="17"/>
      <c r="P52" s="17"/>
      <c r="Q52" s="17"/>
      <c r="R52" s="7"/>
      <c r="S52" s="7"/>
      <c r="T52" s="7"/>
      <c r="U52" s="7"/>
      <c r="V52" s="7"/>
      <c r="W52" s="7"/>
      <c r="X52" s="7"/>
      <c r="Y52" s="5"/>
      <c r="Z52" s="5"/>
      <c r="AA52" s="5"/>
      <c r="AB52" s="7"/>
      <c r="AC52" s="7"/>
      <c r="AD52" s="7"/>
      <c r="AE52" s="8"/>
      <c r="AF52" s="8"/>
      <c r="AG52" s="68">
        <f t="shared" si="5"/>
        <v>0</v>
      </c>
      <c r="AH52" s="46">
        <f t="shared" si="3"/>
        <v>0</v>
      </c>
    </row>
    <row r="53" spans="1:34" s="6" customFormat="1" ht="12.75" hidden="1">
      <c r="A53" s="13" t="s">
        <v>129</v>
      </c>
      <c r="C53" s="7"/>
      <c r="D53" s="7"/>
      <c r="E53" s="4"/>
      <c r="F53" s="7"/>
      <c r="G53" s="7"/>
      <c r="H53" s="7"/>
      <c r="I53" s="7"/>
      <c r="J53" s="7"/>
      <c r="K53" s="7"/>
      <c r="L53" s="7"/>
      <c r="M53" s="62">
        <f t="shared" si="4"/>
        <v>0</v>
      </c>
      <c r="N53" s="17"/>
      <c r="O53" s="17"/>
      <c r="P53" s="17"/>
      <c r="Q53" s="17"/>
      <c r="R53" s="7"/>
      <c r="S53" s="7"/>
      <c r="T53" s="7"/>
      <c r="U53" s="7"/>
      <c r="V53" s="7"/>
      <c r="W53" s="7"/>
      <c r="X53" s="7"/>
      <c r="Y53" s="5"/>
      <c r="Z53" s="5"/>
      <c r="AA53" s="5"/>
      <c r="AB53" s="7"/>
      <c r="AC53" s="7"/>
      <c r="AD53" s="7"/>
      <c r="AE53" s="8"/>
      <c r="AF53" s="8"/>
      <c r="AG53" s="68">
        <f t="shared" si="5"/>
        <v>0</v>
      </c>
      <c r="AH53" s="46">
        <f t="shared" si="3"/>
        <v>0</v>
      </c>
    </row>
    <row r="54" spans="1:34" s="6" customFormat="1" ht="12.75" hidden="1">
      <c r="A54" s="13" t="s">
        <v>132</v>
      </c>
      <c r="C54" s="7"/>
      <c r="D54" s="7"/>
      <c r="E54" s="4"/>
      <c r="F54" s="7"/>
      <c r="G54" s="7"/>
      <c r="H54" s="7"/>
      <c r="I54" s="7"/>
      <c r="J54" s="7"/>
      <c r="K54" s="7"/>
      <c r="L54" s="7"/>
      <c r="M54" s="62">
        <f t="shared" si="4"/>
        <v>0</v>
      </c>
      <c r="N54" s="17"/>
      <c r="O54" s="17"/>
      <c r="P54" s="17"/>
      <c r="Q54" s="17"/>
      <c r="R54" s="7"/>
      <c r="S54" s="7"/>
      <c r="T54" s="7"/>
      <c r="U54" s="7"/>
      <c r="V54" s="7"/>
      <c r="W54" s="7"/>
      <c r="X54" s="7"/>
      <c r="Y54" s="5"/>
      <c r="Z54" s="5"/>
      <c r="AA54" s="5"/>
      <c r="AB54" s="7"/>
      <c r="AC54" s="7"/>
      <c r="AD54" s="7"/>
      <c r="AE54" s="8"/>
      <c r="AF54" s="8"/>
      <c r="AG54" s="68">
        <f aca="true" t="shared" si="6" ref="AG54:AG67">SUM(R54:AF54)</f>
        <v>0</v>
      </c>
      <c r="AH54" s="46">
        <f t="shared" si="3"/>
        <v>0</v>
      </c>
    </row>
    <row r="55" spans="1:34" s="6" customFormat="1" ht="12.75" hidden="1">
      <c r="A55" s="13" t="s">
        <v>142</v>
      </c>
      <c r="C55" s="7"/>
      <c r="D55" s="7"/>
      <c r="E55" s="4"/>
      <c r="F55" s="7"/>
      <c r="G55" s="7"/>
      <c r="H55" s="7"/>
      <c r="I55" s="7"/>
      <c r="J55" s="7"/>
      <c r="K55" s="7"/>
      <c r="L55" s="7"/>
      <c r="M55" s="62">
        <f t="shared" si="4"/>
        <v>0</v>
      </c>
      <c r="N55" s="17"/>
      <c r="O55" s="17"/>
      <c r="P55" s="17"/>
      <c r="Q55" s="17"/>
      <c r="R55" s="7"/>
      <c r="S55" s="7"/>
      <c r="T55" s="7"/>
      <c r="U55" s="7"/>
      <c r="V55" s="7"/>
      <c r="W55" s="7"/>
      <c r="X55" s="7"/>
      <c r="Y55" s="5"/>
      <c r="Z55" s="5"/>
      <c r="AA55" s="5"/>
      <c r="AB55" s="7"/>
      <c r="AC55" s="7"/>
      <c r="AD55" s="7"/>
      <c r="AE55" s="8"/>
      <c r="AF55" s="8"/>
      <c r="AG55" s="68">
        <f t="shared" si="6"/>
        <v>0</v>
      </c>
      <c r="AH55" s="46">
        <f t="shared" si="3"/>
        <v>0</v>
      </c>
    </row>
    <row r="56" spans="1:34" s="6" customFormat="1" ht="12.75" hidden="1">
      <c r="A56" s="13" t="s">
        <v>139</v>
      </c>
      <c r="C56" s="7"/>
      <c r="D56" s="7"/>
      <c r="E56" s="4"/>
      <c r="F56" s="7"/>
      <c r="G56" s="7"/>
      <c r="H56" s="7"/>
      <c r="I56" s="7"/>
      <c r="J56" s="7"/>
      <c r="K56" s="7"/>
      <c r="L56" s="7"/>
      <c r="M56" s="62">
        <f t="shared" si="4"/>
        <v>0</v>
      </c>
      <c r="N56" s="17"/>
      <c r="O56" s="17"/>
      <c r="P56" s="17"/>
      <c r="Q56" s="17"/>
      <c r="R56" s="7"/>
      <c r="S56" s="7"/>
      <c r="T56" s="7"/>
      <c r="U56" s="7"/>
      <c r="V56" s="7"/>
      <c r="W56" s="7"/>
      <c r="X56" s="7"/>
      <c r="Y56" s="5"/>
      <c r="Z56" s="5"/>
      <c r="AA56" s="5"/>
      <c r="AB56" s="7"/>
      <c r="AC56" s="7"/>
      <c r="AD56" s="7"/>
      <c r="AE56" s="8"/>
      <c r="AF56" s="8"/>
      <c r="AG56" s="68">
        <f t="shared" si="6"/>
        <v>0</v>
      </c>
      <c r="AH56" s="46">
        <f t="shared" si="3"/>
        <v>0</v>
      </c>
    </row>
    <row r="57" spans="1:34" s="6" customFormat="1" ht="12.75" hidden="1">
      <c r="A57" s="13" t="s">
        <v>141</v>
      </c>
      <c r="C57" s="7"/>
      <c r="D57" s="7"/>
      <c r="E57" s="4"/>
      <c r="F57" s="7"/>
      <c r="G57" s="7"/>
      <c r="H57" s="7"/>
      <c r="I57" s="7"/>
      <c r="J57" s="7"/>
      <c r="K57" s="7"/>
      <c r="L57" s="7"/>
      <c r="M57" s="62">
        <f t="shared" si="4"/>
        <v>0</v>
      </c>
      <c r="N57" s="17"/>
      <c r="O57" s="17"/>
      <c r="P57" s="17"/>
      <c r="Q57" s="17"/>
      <c r="R57" s="7"/>
      <c r="S57" s="7"/>
      <c r="T57" s="7"/>
      <c r="U57" s="7"/>
      <c r="V57" s="7"/>
      <c r="W57" s="7"/>
      <c r="X57" s="7"/>
      <c r="Y57" s="5"/>
      <c r="Z57" s="5"/>
      <c r="AA57" s="5"/>
      <c r="AB57" s="7"/>
      <c r="AC57" s="7"/>
      <c r="AD57" s="7"/>
      <c r="AE57" s="8"/>
      <c r="AF57" s="8"/>
      <c r="AG57" s="68">
        <f t="shared" si="6"/>
        <v>0</v>
      </c>
      <c r="AH57" s="46">
        <f t="shared" si="3"/>
        <v>0</v>
      </c>
    </row>
    <row r="58" spans="1:34" s="13" customFormat="1" ht="12.75" hidden="1">
      <c r="A58" s="13" t="s">
        <v>33</v>
      </c>
      <c r="C58" s="12"/>
      <c r="D58" s="12"/>
      <c r="E58" s="12"/>
      <c r="F58" s="12"/>
      <c r="G58" s="12"/>
      <c r="H58" s="12"/>
      <c r="I58" s="12"/>
      <c r="J58" s="12"/>
      <c r="K58" s="4"/>
      <c r="L58" s="12"/>
      <c r="M58" s="29">
        <f t="shared" si="4"/>
        <v>0</v>
      </c>
      <c r="N58" s="17"/>
      <c r="P58" s="10">
        <f>P62+P119-O41</f>
        <v>-1276274.4899999998</v>
      </c>
      <c r="Q58" s="10" t="s">
        <v>45</v>
      </c>
      <c r="R58" s="12"/>
      <c r="S58" s="12"/>
      <c r="T58" s="12"/>
      <c r="U58" s="12"/>
      <c r="V58" s="12"/>
      <c r="W58" s="12"/>
      <c r="X58" s="7"/>
      <c r="Y58" s="5"/>
      <c r="Z58" s="5"/>
      <c r="AA58" s="5"/>
      <c r="AB58" s="7"/>
      <c r="AC58" s="12"/>
      <c r="AD58" s="12"/>
      <c r="AE58" s="24"/>
      <c r="AF58" s="9"/>
      <c r="AG58" s="64">
        <f t="shared" si="6"/>
        <v>0</v>
      </c>
      <c r="AH58" s="46">
        <f t="shared" si="3"/>
        <v>0</v>
      </c>
    </row>
    <row r="59" spans="1:34" s="13" customFormat="1" ht="12.75" hidden="1">
      <c r="A59" s="13" t="s">
        <v>47</v>
      </c>
      <c r="C59" s="12"/>
      <c r="D59" s="12"/>
      <c r="E59" s="12"/>
      <c r="F59" s="12"/>
      <c r="G59" s="12"/>
      <c r="H59" s="12"/>
      <c r="I59" s="12"/>
      <c r="J59" s="12"/>
      <c r="K59" s="4"/>
      <c r="L59" s="12"/>
      <c r="M59" s="30">
        <f t="shared" si="4"/>
        <v>0</v>
      </c>
      <c r="N59" s="17"/>
      <c r="O59" s="19"/>
      <c r="P59" s="10" t="e">
        <f>SUM(E27+#REF!+E39+E116)</f>
        <v>#REF!</v>
      </c>
      <c r="Q59" s="10" t="s">
        <v>41</v>
      </c>
      <c r="R59" s="12"/>
      <c r="S59" s="12"/>
      <c r="T59" s="12"/>
      <c r="U59" s="12"/>
      <c r="V59" s="12"/>
      <c r="W59" s="12"/>
      <c r="X59" s="7"/>
      <c r="Y59" s="5"/>
      <c r="Z59" s="5"/>
      <c r="AA59" s="5"/>
      <c r="AB59" s="7"/>
      <c r="AC59" s="5"/>
      <c r="AD59" s="5"/>
      <c r="AE59" s="24"/>
      <c r="AF59" s="9"/>
      <c r="AG59" s="65">
        <f t="shared" si="6"/>
        <v>0</v>
      </c>
      <c r="AH59" s="46">
        <f t="shared" si="3"/>
        <v>0</v>
      </c>
    </row>
    <row r="60" spans="1:34" s="13" customFormat="1" ht="12.75" hidden="1">
      <c r="A60" s="13" t="s">
        <v>48</v>
      </c>
      <c r="C60" s="12"/>
      <c r="D60" s="12"/>
      <c r="E60" s="12"/>
      <c r="F60" s="12"/>
      <c r="G60" s="12"/>
      <c r="H60" s="12"/>
      <c r="I60" s="12"/>
      <c r="J60" s="12"/>
      <c r="K60" s="4"/>
      <c r="L60" s="12"/>
      <c r="M60" s="30">
        <f t="shared" si="4"/>
        <v>0</v>
      </c>
      <c r="N60" s="17"/>
      <c r="P60" s="10">
        <f>SUM(E28+E38+E40+E117)</f>
        <v>181075.96000000002</v>
      </c>
      <c r="Q60" s="10" t="s">
        <v>41</v>
      </c>
      <c r="R60" s="12"/>
      <c r="S60" s="12"/>
      <c r="T60" s="12"/>
      <c r="U60" s="12"/>
      <c r="V60" s="12"/>
      <c r="W60" s="12"/>
      <c r="X60" s="7"/>
      <c r="Y60" s="5"/>
      <c r="Z60" s="5"/>
      <c r="AA60" s="5"/>
      <c r="AB60" s="7"/>
      <c r="AC60" s="5"/>
      <c r="AD60" s="5"/>
      <c r="AE60" s="24"/>
      <c r="AF60" s="9"/>
      <c r="AG60" s="65">
        <f t="shared" si="6"/>
        <v>0</v>
      </c>
      <c r="AH60" s="46">
        <f t="shared" si="3"/>
        <v>0</v>
      </c>
    </row>
    <row r="61" spans="1:34" s="13" customFormat="1" ht="12.75" hidden="1">
      <c r="A61" s="13" t="s">
        <v>49</v>
      </c>
      <c r="C61" s="12"/>
      <c r="D61" s="12"/>
      <c r="E61" s="12"/>
      <c r="F61" s="12"/>
      <c r="G61" s="12"/>
      <c r="H61" s="12"/>
      <c r="I61" s="12"/>
      <c r="J61" s="12"/>
      <c r="K61" s="4"/>
      <c r="L61" s="12"/>
      <c r="M61" s="30">
        <f t="shared" si="4"/>
        <v>0</v>
      </c>
      <c r="N61" s="17"/>
      <c r="P61" s="10" t="e">
        <f>SUM(E29+#REF!+E41+E118)</f>
        <v>#REF!</v>
      </c>
      <c r="Q61" s="10" t="s">
        <v>41</v>
      </c>
      <c r="R61" s="12"/>
      <c r="S61" s="12"/>
      <c r="T61" s="12"/>
      <c r="U61" s="12"/>
      <c r="V61" s="12"/>
      <c r="W61" s="12"/>
      <c r="X61" s="7"/>
      <c r="Y61" s="5"/>
      <c r="Z61" s="5"/>
      <c r="AA61" s="5"/>
      <c r="AB61" s="7"/>
      <c r="AC61" s="5"/>
      <c r="AD61" s="5"/>
      <c r="AE61" s="24"/>
      <c r="AF61" s="9"/>
      <c r="AG61" s="65">
        <f t="shared" si="6"/>
        <v>0</v>
      </c>
      <c r="AH61" s="46">
        <f t="shared" si="3"/>
        <v>0</v>
      </c>
    </row>
    <row r="62" spans="1:34" s="13" customFormat="1" ht="12.75" hidden="1">
      <c r="A62" s="13" t="s">
        <v>34</v>
      </c>
      <c r="C62" s="12"/>
      <c r="D62" s="12"/>
      <c r="E62" s="12"/>
      <c r="F62" s="12"/>
      <c r="G62" s="12"/>
      <c r="H62" s="12"/>
      <c r="I62" s="12"/>
      <c r="J62" s="12"/>
      <c r="K62" s="4"/>
      <c r="L62" s="12"/>
      <c r="M62" s="29">
        <f t="shared" si="4"/>
        <v>0</v>
      </c>
      <c r="N62" s="17"/>
      <c r="P62" s="10">
        <f>SUM(E28+E38+E40+E117)</f>
        <v>181075.96000000002</v>
      </c>
      <c r="Q62" s="10" t="s">
        <v>41</v>
      </c>
      <c r="R62" s="12"/>
      <c r="S62" s="12"/>
      <c r="T62" s="12"/>
      <c r="U62" s="12"/>
      <c r="V62" s="12"/>
      <c r="W62" s="12"/>
      <c r="X62" s="7"/>
      <c r="Y62" s="5"/>
      <c r="Z62" s="5"/>
      <c r="AA62" s="5"/>
      <c r="AB62" s="7"/>
      <c r="AC62" s="12"/>
      <c r="AD62" s="5"/>
      <c r="AE62" s="24"/>
      <c r="AF62" s="9"/>
      <c r="AG62" s="64">
        <f t="shared" si="6"/>
        <v>0</v>
      </c>
      <c r="AH62" s="46">
        <f t="shared" si="3"/>
        <v>0</v>
      </c>
    </row>
    <row r="63" spans="1:34" s="13" customFormat="1" ht="12.75" hidden="1">
      <c r="A63" s="13" t="s">
        <v>56</v>
      </c>
      <c r="C63" s="12"/>
      <c r="D63" s="12"/>
      <c r="E63" s="12"/>
      <c r="F63" s="12"/>
      <c r="G63" s="12"/>
      <c r="H63" s="12"/>
      <c r="I63" s="12"/>
      <c r="J63" s="12"/>
      <c r="K63" s="4"/>
      <c r="L63" s="12"/>
      <c r="M63" s="29">
        <f t="shared" si="4"/>
        <v>0</v>
      </c>
      <c r="N63" s="17"/>
      <c r="P63" s="10">
        <f>O42-E30-E104</f>
        <v>1747583.6099999999</v>
      </c>
      <c r="Q63" s="10" t="s">
        <v>44</v>
      </c>
      <c r="R63" s="12"/>
      <c r="S63" s="12"/>
      <c r="T63" s="12"/>
      <c r="U63" s="12"/>
      <c r="V63" s="12"/>
      <c r="W63" s="12"/>
      <c r="X63" s="7"/>
      <c r="Y63" s="5"/>
      <c r="Z63" s="5"/>
      <c r="AA63" s="5"/>
      <c r="AB63" s="7"/>
      <c r="AC63" s="12"/>
      <c r="AD63" s="5"/>
      <c r="AE63" s="24"/>
      <c r="AF63" s="9"/>
      <c r="AG63" s="64">
        <f t="shared" si="6"/>
        <v>0</v>
      </c>
      <c r="AH63" s="46">
        <f t="shared" si="3"/>
        <v>0</v>
      </c>
    </row>
    <row r="64" spans="1:34" s="13" customFormat="1" ht="12.75" hidden="1">
      <c r="A64" s="13" t="s">
        <v>59</v>
      </c>
      <c r="C64" s="12"/>
      <c r="D64" s="12"/>
      <c r="E64" s="12"/>
      <c r="F64" s="12"/>
      <c r="G64" s="12"/>
      <c r="H64" s="12"/>
      <c r="I64" s="12"/>
      <c r="J64" s="12"/>
      <c r="K64" s="4"/>
      <c r="L64" s="12"/>
      <c r="M64" s="30">
        <f t="shared" si="4"/>
        <v>0</v>
      </c>
      <c r="N64" s="17"/>
      <c r="P64" s="8"/>
      <c r="Q64" s="8"/>
      <c r="R64" s="12"/>
      <c r="S64" s="12"/>
      <c r="T64" s="12"/>
      <c r="U64" s="12"/>
      <c r="V64" s="12"/>
      <c r="W64" s="12"/>
      <c r="X64" s="7"/>
      <c r="Y64" s="5"/>
      <c r="Z64" s="5"/>
      <c r="AA64" s="5"/>
      <c r="AB64" s="7"/>
      <c r="AC64" s="12"/>
      <c r="AD64" s="5"/>
      <c r="AE64" s="24"/>
      <c r="AF64" s="9"/>
      <c r="AG64" s="65">
        <f t="shared" si="6"/>
        <v>0</v>
      </c>
      <c r="AH64" s="46">
        <f t="shared" si="3"/>
        <v>0</v>
      </c>
    </row>
    <row r="65" spans="1:34" s="13" customFormat="1" ht="12.75" hidden="1">
      <c r="A65" s="13" t="s">
        <v>68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0">
        <f t="shared" si="4"/>
        <v>0</v>
      </c>
      <c r="N65" s="17"/>
      <c r="P65" s="8"/>
      <c r="Q65" s="8"/>
      <c r="R65" s="12"/>
      <c r="S65" s="12"/>
      <c r="T65" s="12"/>
      <c r="U65" s="12"/>
      <c r="V65" s="12"/>
      <c r="W65" s="12"/>
      <c r="X65" s="7"/>
      <c r="Y65" s="5"/>
      <c r="Z65" s="5"/>
      <c r="AA65" s="5"/>
      <c r="AB65" s="7"/>
      <c r="AC65" s="12"/>
      <c r="AD65" s="5"/>
      <c r="AE65" s="24"/>
      <c r="AF65" s="9"/>
      <c r="AG65" s="65">
        <f t="shared" si="6"/>
        <v>0</v>
      </c>
      <c r="AH65" s="46">
        <f t="shared" si="3"/>
        <v>0</v>
      </c>
    </row>
    <row r="66" spans="1:34" s="13" customFormat="1" ht="12.75" hidden="1">
      <c r="A66" s="13" t="s">
        <v>69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30">
        <f t="shared" si="4"/>
        <v>0</v>
      </c>
      <c r="N66" s="17"/>
      <c r="P66" s="8"/>
      <c r="Q66" s="8"/>
      <c r="R66" s="12"/>
      <c r="S66" s="12"/>
      <c r="T66" s="12"/>
      <c r="U66" s="12"/>
      <c r="V66" s="12"/>
      <c r="W66" s="12"/>
      <c r="X66" s="7"/>
      <c r="Y66" s="5"/>
      <c r="Z66" s="5"/>
      <c r="AA66" s="5"/>
      <c r="AB66" s="7"/>
      <c r="AC66" s="12"/>
      <c r="AD66" s="5"/>
      <c r="AE66" s="24"/>
      <c r="AF66" s="9"/>
      <c r="AG66" s="65">
        <f t="shared" si="6"/>
        <v>0</v>
      </c>
      <c r="AH66" s="46">
        <f t="shared" si="3"/>
        <v>0</v>
      </c>
    </row>
    <row r="67" spans="1:34" s="13" customFormat="1" ht="12.75" hidden="1">
      <c r="A67" s="13" t="s">
        <v>50</v>
      </c>
      <c r="C67" s="12"/>
      <c r="D67" s="12"/>
      <c r="E67" s="12"/>
      <c r="F67" s="12"/>
      <c r="G67" s="12"/>
      <c r="H67" s="12"/>
      <c r="I67" s="12"/>
      <c r="J67" s="12"/>
      <c r="K67" s="4"/>
      <c r="L67" s="12"/>
      <c r="M67" s="29">
        <f t="shared" si="4"/>
        <v>0</v>
      </c>
      <c r="N67" s="17"/>
      <c r="P67" s="10" t="e">
        <f>SUM(#REF!+E42+E45+E124)</f>
        <v>#REF!</v>
      </c>
      <c r="Q67" s="10" t="s">
        <v>41</v>
      </c>
      <c r="R67" s="12"/>
      <c r="S67" s="12"/>
      <c r="T67" s="12"/>
      <c r="U67" s="12"/>
      <c r="V67" s="12"/>
      <c r="W67" s="12"/>
      <c r="X67" s="7"/>
      <c r="Y67" s="5"/>
      <c r="Z67" s="5"/>
      <c r="AA67" s="5"/>
      <c r="AB67" s="7"/>
      <c r="AC67" s="5"/>
      <c r="AD67" s="5"/>
      <c r="AE67" s="24"/>
      <c r="AF67" s="9"/>
      <c r="AG67" s="64">
        <f t="shared" si="6"/>
        <v>0</v>
      </c>
      <c r="AH67" s="46">
        <f t="shared" si="3"/>
        <v>0</v>
      </c>
    </row>
    <row r="68" spans="1:34" s="13" customFormat="1" ht="12.75" hidden="1">
      <c r="A68" s="13" t="s">
        <v>77</v>
      </c>
      <c r="C68" s="12"/>
      <c r="D68" s="12"/>
      <c r="E68" s="12"/>
      <c r="F68" s="12"/>
      <c r="G68" s="12"/>
      <c r="H68" s="12"/>
      <c r="I68" s="12"/>
      <c r="J68" s="12"/>
      <c r="K68" s="4"/>
      <c r="L68" s="12"/>
      <c r="M68" s="30">
        <f aca="true" t="shared" si="7" ref="M68:M110">SUM(B68:L68)</f>
        <v>0</v>
      </c>
      <c r="N68" s="17"/>
      <c r="P68" s="10"/>
      <c r="Q68" s="10"/>
      <c r="R68" s="12"/>
      <c r="S68" s="12"/>
      <c r="T68" s="12"/>
      <c r="U68" s="12"/>
      <c r="V68" s="12"/>
      <c r="W68" s="12"/>
      <c r="X68" s="7"/>
      <c r="Y68" s="5"/>
      <c r="Z68" s="5"/>
      <c r="AA68" s="5"/>
      <c r="AB68" s="7"/>
      <c r="AC68" s="12"/>
      <c r="AD68" s="5"/>
      <c r="AE68" s="24"/>
      <c r="AF68" s="9"/>
      <c r="AG68" s="65">
        <f aca="true" t="shared" si="8" ref="AG68:AG79">SUM(R68:AF68)</f>
        <v>0</v>
      </c>
      <c r="AH68" s="46">
        <f t="shared" si="3"/>
        <v>0</v>
      </c>
    </row>
    <row r="69" spans="1:34" s="13" customFormat="1" ht="12.75" hidden="1">
      <c r="A69" s="13" t="s">
        <v>105</v>
      </c>
      <c r="C69" s="12"/>
      <c r="D69" s="12"/>
      <c r="E69" s="12"/>
      <c r="F69" s="12"/>
      <c r="G69" s="12"/>
      <c r="H69" s="12"/>
      <c r="I69" s="12"/>
      <c r="J69" s="12"/>
      <c r="K69" s="4"/>
      <c r="L69" s="12"/>
      <c r="M69" s="30">
        <f t="shared" si="7"/>
        <v>0</v>
      </c>
      <c r="N69" s="17"/>
      <c r="P69" s="10"/>
      <c r="Q69" s="10"/>
      <c r="R69" s="12"/>
      <c r="S69" s="12"/>
      <c r="T69" s="12"/>
      <c r="U69" s="12"/>
      <c r="V69" s="12"/>
      <c r="W69" s="12"/>
      <c r="X69" s="7"/>
      <c r="Y69" s="5"/>
      <c r="Z69" s="5"/>
      <c r="AA69" s="5"/>
      <c r="AB69" s="7"/>
      <c r="AC69" s="12"/>
      <c r="AD69" s="5"/>
      <c r="AE69" s="24"/>
      <c r="AF69" s="9"/>
      <c r="AG69" s="65">
        <f t="shared" si="8"/>
        <v>0</v>
      </c>
      <c r="AH69" s="46">
        <f t="shared" si="3"/>
        <v>0</v>
      </c>
    </row>
    <row r="70" spans="1:34" s="13" customFormat="1" ht="12.75" hidden="1">
      <c r="A70" s="13" t="s">
        <v>79</v>
      </c>
      <c r="C70" s="12"/>
      <c r="D70" s="12"/>
      <c r="E70" s="12"/>
      <c r="F70" s="12"/>
      <c r="G70" s="12"/>
      <c r="H70" s="12"/>
      <c r="I70" s="12"/>
      <c r="J70" s="12"/>
      <c r="K70" s="4"/>
      <c r="L70" s="12"/>
      <c r="M70" s="30">
        <f t="shared" si="7"/>
        <v>0</v>
      </c>
      <c r="N70" s="17"/>
      <c r="P70" s="10"/>
      <c r="Q70" s="10"/>
      <c r="R70" s="12"/>
      <c r="S70" s="12"/>
      <c r="T70" s="12"/>
      <c r="U70" s="12"/>
      <c r="V70" s="12"/>
      <c r="W70" s="12"/>
      <c r="X70" s="7"/>
      <c r="Y70" s="5"/>
      <c r="Z70" s="5"/>
      <c r="AA70" s="5"/>
      <c r="AB70" s="7"/>
      <c r="AC70" s="12"/>
      <c r="AD70" s="5"/>
      <c r="AE70" s="24"/>
      <c r="AF70" s="9"/>
      <c r="AG70" s="65">
        <f t="shared" si="8"/>
        <v>0</v>
      </c>
      <c r="AH70" s="46">
        <f t="shared" si="3"/>
        <v>0</v>
      </c>
    </row>
    <row r="71" spans="1:34" s="13" customFormat="1" ht="12.75" hidden="1">
      <c r="A71" s="13" t="s">
        <v>106</v>
      </c>
      <c r="C71" s="12"/>
      <c r="D71" s="12"/>
      <c r="E71" s="12"/>
      <c r="F71" s="12"/>
      <c r="G71" s="12"/>
      <c r="H71" s="12"/>
      <c r="I71" s="12"/>
      <c r="J71" s="12"/>
      <c r="K71" s="4"/>
      <c r="L71" s="12"/>
      <c r="M71" s="30">
        <f t="shared" si="7"/>
        <v>0</v>
      </c>
      <c r="N71" s="17"/>
      <c r="P71" s="10"/>
      <c r="Q71" s="10"/>
      <c r="R71" s="12"/>
      <c r="S71" s="12"/>
      <c r="T71" s="12"/>
      <c r="U71" s="12"/>
      <c r="V71" s="12"/>
      <c r="W71" s="12"/>
      <c r="X71" s="7"/>
      <c r="Y71" s="5"/>
      <c r="Z71" s="5"/>
      <c r="AA71" s="5"/>
      <c r="AB71" s="7"/>
      <c r="AC71" s="12"/>
      <c r="AD71" s="5"/>
      <c r="AE71" s="24"/>
      <c r="AF71" s="9"/>
      <c r="AG71" s="30">
        <f t="shared" si="8"/>
        <v>0</v>
      </c>
      <c r="AH71" s="46">
        <f t="shared" si="3"/>
        <v>0</v>
      </c>
    </row>
    <row r="72" spans="1:34" s="13" customFormat="1" ht="12.75" hidden="1">
      <c r="A72" s="13" t="s">
        <v>82</v>
      </c>
      <c r="C72" s="12"/>
      <c r="D72" s="12"/>
      <c r="E72" s="12"/>
      <c r="F72" s="12"/>
      <c r="G72" s="12"/>
      <c r="H72" s="12"/>
      <c r="I72" s="12"/>
      <c r="J72" s="12"/>
      <c r="K72" s="4"/>
      <c r="L72" s="12"/>
      <c r="M72" s="30">
        <f t="shared" si="7"/>
        <v>0</v>
      </c>
      <c r="N72" s="17"/>
      <c r="P72" s="10"/>
      <c r="Q72" s="10"/>
      <c r="R72" s="12"/>
      <c r="S72" s="12"/>
      <c r="T72" s="12"/>
      <c r="U72" s="12"/>
      <c r="V72" s="12"/>
      <c r="W72" s="12"/>
      <c r="X72" s="7"/>
      <c r="Y72" s="5"/>
      <c r="Z72" s="5"/>
      <c r="AA72" s="5"/>
      <c r="AB72" s="7"/>
      <c r="AC72" s="12"/>
      <c r="AD72" s="5"/>
      <c r="AE72" s="24"/>
      <c r="AF72" s="9"/>
      <c r="AG72" s="30">
        <f t="shared" si="8"/>
        <v>0</v>
      </c>
      <c r="AH72" s="46">
        <f t="shared" si="3"/>
        <v>0</v>
      </c>
    </row>
    <row r="73" spans="1:34" s="13" customFormat="1" ht="12.75" hidden="1">
      <c r="A73" s="13" t="s">
        <v>83</v>
      </c>
      <c r="C73" s="12"/>
      <c r="D73" s="12"/>
      <c r="E73" s="12"/>
      <c r="F73" s="12"/>
      <c r="G73" s="12"/>
      <c r="H73" s="12"/>
      <c r="I73" s="12"/>
      <c r="J73" s="12"/>
      <c r="K73" s="4"/>
      <c r="L73" s="12"/>
      <c r="M73" s="30">
        <f t="shared" si="7"/>
        <v>0</v>
      </c>
      <c r="N73" s="17"/>
      <c r="P73" s="10"/>
      <c r="Q73" s="10"/>
      <c r="R73" s="12"/>
      <c r="S73" s="12"/>
      <c r="T73" s="12"/>
      <c r="U73" s="12"/>
      <c r="V73" s="12"/>
      <c r="W73" s="12"/>
      <c r="X73" s="7"/>
      <c r="Y73" s="5"/>
      <c r="Z73" s="5"/>
      <c r="AA73" s="5"/>
      <c r="AB73" s="7"/>
      <c r="AC73" s="12"/>
      <c r="AD73" s="5"/>
      <c r="AE73" s="24"/>
      <c r="AF73" s="9"/>
      <c r="AG73" s="30">
        <f t="shared" si="8"/>
        <v>0</v>
      </c>
      <c r="AH73" s="46">
        <f t="shared" si="3"/>
        <v>0</v>
      </c>
    </row>
    <row r="74" spans="1:34" s="13" customFormat="1" ht="12.75" hidden="1">
      <c r="A74" s="13" t="s">
        <v>93</v>
      </c>
      <c r="C74" s="12"/>
      <c r="D74" s="12"/>
      <c r="E74" s="12"/>
      <c r="F74" s="12"/>
      <c r="G74" s="12"/>
      <c r="H74" s="12"/>
      <c r="I74" s="12"/>
      <c r="J74" s="12"/>
      <c r="K74" s="4"/>
      <c r="L74" s="12"/>
      <c r="M74" s="30">
        <f t="shared" si="7"/>
        <v>0</v>
      </c>
      <c r="N74" s="17"/>
      <c r="P74" s="10"/>
      <c r="Q74" s="10"/>
      <c r="R74" s="12"/>
      <c r="S74" s="12"/>
      <c r="T74" s="12"/>
      <c r="U74" s="12"/>
      <c r="V74" s="12"/>
      <c r="W74" s="12"/>
      <c r="X74" s="7"/>
      <c r="Y74" s="5"/>
      <c r="Z74" s="5"/>
      <c r="AA74" s="5"/>
      <c r="AB74" s="7"/>
      <c r="AC74" s="12"/>
      <c r="AD74" s="5"/>
      <c r="AE74" s="24"/>
      <c r="AF74" s="9"/>
      <c r="AG74" s="30">
        <f t="shared" si="8"/>
        <v>0</v>
      </c>
      <c r="AH74" s="46">
        <f t="shared" si="3"/>
        <v>0</v>
      </c>
    </row>
    <row r="75" spans="1:34" s="13" customFormat="1" ht="12.75" hidden="1">
      <c r="A75" s="13" t="s">
        <v>85</v>
      </c>
      <c r="C75" s="12"/>
      <c r="D75" s="12"/>
      <c r="E75" s="12"/>
      <c r="F75" s="12"/>
      <c r="G75" s="12"/>
      <c r="H75" s="12"/>
      <c r="I75" s="12"/>
      <c r="J75" s="12"/>
      <c r="K75" s="4"/>
      <c r="L75" s="12"/>
      <c r="M75" s="30">
        <f t="shared" si="7"/>
        <v>0</v>
      </c>
      <c r="N75" s="17"/>
      <c r="P75" s="10"/>
      <c r="Q75" s="10"/>
      <c r="R75" s="12"/>
      <c r="S75" s="12"/>
      <c r="T75" s="12"/>
      <c r="U75" s="12"/>
      <c r="V75" s="12"/>
      <c r="W75" s="12"/>
      <c r="X75" s="7"/>
      <c r="Y75" s="5"/>
      <c r="Z75" s="5"/>
      <c r="AA75" s="5"/>
      <c r="AB75" s="7"/>
      <c r="AC75" s="12"/>
      <c r="AD75" s="5"/>
      <c r="AE75" s="24"/>
      <c r="AF75" s="9"/>
      <c r="AG75" s="30">
        <f>SUM(R75:AF75)</f>
        <v>0</v>
      </c>
      <c r="AH75" s="46">
        <f t="shared" si="3"/>
        <v>0</v>
      </c>
    </row>
    <row r="76" spans="1:34" s="13" customFormat="1" ht="12.75" hidden="1">
      <c r="A76" s="13" t="s">
        <v>86</v>
      </c>
      <c r="C76" s="12"/>
      <c r="D76" s="12"/>
      <c r="E76" s="12"/>
      <c r="F76" s="12"/>
      <c r="G76" s="12"/>
      <c r="H76" s="12"/>
      <c r="I76" s="12"/>
      <c r="J76" s="12"/>
      <c r="K76" s="4"/>
      <c r="L76" s="12"/>
      <c r="M76" s="30">
        <f t="shared" si="7"/>
        <v>0</v>
      </c>
      <c r="N76" s="17"/>
      <c r="P76" s="10"/>
      <c r="Q76" s="10"/>
      <c r="R76" s="12"/>
      <c r="S76" s="12"/>
      <c r="T76" s="12"/>
      <c r="U76" s="12"/>
      <c r="V76" s="12"/>
      <c r="W76" s="12"/>
      <c r="X76" s="7"/>
      <c r="Y76" s="5"/>
      <c r="Z76" s="5"/>
      <c r="AA76" s="5"/>
      <c r="AB76" s="7"/>
      <c r="AC76" s="12"/>
      <c r="AD76" s="5"/>
      <c r="AE76" s="24"/>
      <c r="AF76" s="9"/>
      <c r="AG76" s="30">
        <f>SUM(R76:AF76)</f>
        <v>0</v>
      </c>
      <c r="AH76" s="46">
        <f t="shared" si="3"/>
        <v>0</v>
      </c>
    </row>
    <row r="77" spans="1:34" s="13" customFormat="1" ht="12.75" hidden="1">
      <c r="A77" s="13" t="s">
        <v>88</v>
      </c>
      <c r="C77" s="12"/>
      <c r="D77" s="12"/>
      <c r="E77" s="12"/>
      <c r="F77" s="12"/>
      <c r="G77" s="12"/>
      <c r="H77" s="12"/>
      <c r="I77" s="12"/>
      <c r="J77" s="12"/>
      <c r="K77" s="4"/>
      <c r="L77" s="12"/>
      <c r="M77" s="30">
        <f t="shared" si="7"/>
        <v>0</v>
      </c>
      <c r="N77" s="17"/>
      <c r="P77" s="10"/>
      <c r="Q77" s="10"/>
      <c r="R77" s="12"/>
      <c r="S77" s="12"/>
      <c r="T77" s="12"/>
      <c r="U77" s="12"/>
      <c r="V77" s="12"/>
      <c r="W77" s="12"/>
      <c r="X77" s="7"/>
      <c r="Y77" s="5"/>
      <c r="Z77" s="5"/>
      <c r="AA77" s="5"/>
      <c r="AB77" s="7"/>
      <c r="AC77" s="12"/>
      <c r="AD77" s="5"/>
      <c r="AE77" s="24"/>
      <c r="AF77" s="9"/>
      <c r="AG77" s="30">
        <f t="shared" si="8"/>
        <v>0</v>
      </c>
      <c r="AH77" s="46">
        <f t="shared" si="3"/>
        <v>0</v>
      </c>
    </row>
    <row r="78" spans="1:34" s="13" customFormat="1" ht="12.75" hidden="1">
      <c r="A78" s="13" t="s">
        <v>89</v>
      </c>
      <c r="C78" s="12"/>
      <c r="D78" s="12"/>
      <c r="E78" s="12"/>
      <c r="F78" s="12"/>
      <c r="G78" s="12"/>
      <c r="H78" s="12"/>
      <c r="I78" s="12"/>
      <c r="J78" s="12"/>
      <c r="K78" s="4"/>
      <c r="L78" s="12"/>
      <c r="M78" s="30">
        <f t="shared" si="7"/>
        <v>0</v>
      </c>
      <c r="N78" s="17"/>
      <c r="P78" s="10"/>
      <c r="Q78" s="10"/>
      <c r="R78" s="12"/>
      <c r="S78" s="12"/>
      <c r="T78" s="12"/>
      <c r="U78" s="12"/>
      <c r="V78" s="12"/>
      <c r="W78" s="12"/>
      <c r="X78" s="7"/>
      <c r="Y78" s="5"/>
      <c r="Z78" s="5"/>
      <c r="AA78" s="5"/>
      <c r="AB78" s="7"/>
      <c r="AC78" s="12"/>
      <c r="AD78" s="5"/>
      <c r="AE78" s="24"/>
      <c r="AF78" s="9"/>
      <c r="AG78" s="30">
        <f t="shared" si="8"/>
        <v>0</v>
      </c>
      <c r="AH78" s="46">
        <f t="shared" si="3"/>
        <v>0</v>
      </c>
    </row>
    <row r="79" spans="1:34" s="13" customFormat="1" ht="12.75" hidden="1">
      <c r="A79" s="13" t="s">
        <v>90</v>
      </c>
      <c r="C79" s="12"/>
      <c r="D79" s="12"/>
      <c r="E79" s="12"/>
      <c r="F79" s="12"/>
      <c r="G79" s="12"/>
      <c r="H79" s="12"/>
      <c r="I79" s="12"/>
      <c r="J79" s="12"/>
      <c r="K79" s="4"/>
      <c r="L79" s="12"/>
      <c r="M79" s="30">
        <f t="shared" si="7"/>
        <v>0</v>
      </c>
      <c r="N79" s="17"/>
      <c r="P79" s="10"/>
      <c r="Q79" s="10"/>
      <c r="R79" s="12"/>
      <c r="S79" s="12"/>
      <c r="T79" s="12"/>
      <c r="U79" s="12"/>
      <c r="V79" s="12"/>
      <c r="W79" s="12"/>
      <c r="X79" s="7"/>
      <c r="Y79" s="5"/>
      <c r="Z79" s="5"/>
      <c r="AA79" s="5"/>
      <c r="AB79" s="7"/>
      <c r="AC79" s="12"/>
      <c r="AD79" s="5"/>
      <c r="AE79" s="24"/>
      <c r="AF79" s="9"/>
      <c r="AG79" s="30">
        <f t="shared" si="8"/>
        <v>0</v>
      </c>
      <c r="AH79" s="46">
        <f t="shared" si="3"/>
        <v>0</v>
      </c>
    </row>
    <row r="80" spans="1:34" s="13" customFormat="1" ht="12.75" hidden="1">
      <c r="A80" s="53" t="s">
        <v>121</v>
      </c>
      <c r="C80" s="12"/>
      <c r="D80" s="12"/>
      <c r="E80" s="12"/>
      <c r="F80" s="12"/>
      <c r="G80" s="12"/>
      <c r="H80" s="12"/>
      <c r="I80" s="12"/>
      <c r="J80" s="12"/>
      <c r="K80" s="4"/>
      <c r="L80" s="12"/>
      <c r="M80" s="30">
        <f t="shared" si="7"/>
        <v>0</v>
      </c>
      <c r="N80" s="17"/>
      <c r="P80" s="10"/>
      <c r="Q80" s="10"/>
      <c r="R80" s="12"/>
      <c r="S80" s="12"/>
      <c r="T80" s="12"/>
      <c r="U80" s="12"/>
      <c r="V80" s="12"/>
      <c r="W80" s="12"/>
      <c r="X80" s="7"/>
      <c r="Y80" s="5"/>
      <c r="Z80" s="5"/>
      <c r="AA80" s="5"/>
      <c r="AB80" s="7"/>
      <c r="AC80" s="12"/>
      <c r="AD80" s="5"/>
      <c r="AE80" s="24"/>
      <c r="AF80" s="9"/>
      <c r="AG80" s="30">
        <f aca="true" t="shared" si="9" ref="AG80:AG97">SUM(R80:AF80)</f>
        <v>0</v>
      </c>
      <c r="AH80" s="46">
        <f t="shared" si="3"/>
        <v>0</v>
      </c>
    </row>
    <row r="81" spans="1:34" s="13" customFormat="1" ht="12.75" hidden="1">
      <c r="A81" s="53" t="s">
        <v>122</v>
      </c>
      <c r="C81" s="12"/>
      <c r="D81" s="12"/>
      <c r="E81" s="12"/>
      <c r="F81" s="12"/>
      <c r="G81" s="12"/>
      <c r="H81" s="12"/>
      <c r="I81" s="12"/>
      <c r="J81" s="12"/>
      <c r="K81" s="4"/>
      <c r="L81" s="12"/>
      <c r="M81" s="30">
        <f t="shared" si="7"/>
        <v>0</v>
      </c>
      <c r="N81" s="17"/>
      <c r="P81" s="10"/>
      <c r="Q81" s="10"/>
      <c r="R81" s="12"/>
      <c r="S81" s="12"/>
      <c r="T81" s="12"/>
      <c r="U81" s="12"/>
      <c r="V81" s="12"/>
      <c r="W81" s="12"/>
      <c r="X81" s="7"/>
      <c r="Y81" s="5"/>
      <c r="Z81" s="5"/>
      <c r="AA81" s="5"/>
      <c r="AB81" s="7"/>
      <c r="AC81" s="12"/>
      <c r="AD81" s="5"/>
      <c r="AE81" s="24"/>
      <c r="AF81" s="9"/>
      <c r="AG81" s="30">
        <f t="shared" si="9"/>
        <v>0</v>
      </c>
      <c r="AH81" s="46">
        <f t="shared" si="3"/>
        <v>0</v>
      </c>
    </row>
    <row r="82" spans="1:34" s="13" customFormat="1" ht="12.75" hidden="1">
      <c r="A82" s="53" t="s">
        <v>95</v>
      </c>
      <c r="C82" s="12"/>
      <c r="D82" s="12"/>
      <c r="E82" s="12"/>
      <c r="F82" s="12"/>
      <c r="G82" s="12"/>
      <c r="H82" s="12"/>
      <c r="I82" s="12"/>
      <c r="J82" s="12"/>
      <c r="K82" s="4"/>
      <c r="L82" s="12"/>
      <c r="M82" s="30">
        <f t="shared" si="7"/>
        <v>0</v>
      </c>
      <c r="N82" s="69">
        <f>SUM(M82:M97)</f>
        <v>9959759.999998348</v>
      </c>
      <c r="P82" s="10"/>
      <c r="Q82" s="10"/>
      <c r="R82" s="12"/>
      <c r="S82" s="12"/>
      <c r="T82" s="12"/>
      <c r="U82" s="12"/>
      <c r="V82" s="12"/>
      <c r="W82" s="12"/>
      <c r="X82" s="7"/>
      <c r="Y82" s="5"/>
      <c r="Z82" s="5"/>
      <c r="AA82" s="5"/>
      <c r="AB82" s="7"/>
      <c r="AC82" s="12"/>
      <c r="AD82" s="5"/>
      <c r="AE82" s="24"/>
      <c r="AF82" s="9"/>
      <c r="AG82" s="30">
        <f t="shared" si="9"/>
        <v>0</v>
      </c>
      <c r="AH82" s="46">
        <f t="shared" si="3"/>
        <v>0</v>
      </c>
    </row>
    <row r="83" spans="1:34" s="13" customFormat="1" ht="12.75" customHeight="1" hidden="1">
      <c r="A83" s="53" t="s">
        <v>96</v>
      </c>
      <c r="C83" s="12"/>
      <c r="D83" s="12"/>
      <c r="E83" s="12"/>
      <c r="F83" s="12"/>
      <c r="G83" s="12"/>
      <c r="H83" s="12"/>
      <c r="I83" s="12"/>
      <c r="J83" s="12"/>
      <c r="K83" s="4"/>
      <c r="L83" s="12"/>
      <c r="M83" s="30">
        <f t="shared" si="7"/>
        <v>0</v>
      </c>
      <c r="N83" s="17"/>
      <c r="P83" s="10"/>
      <c r="Q83" s="10"/>
      <c r="R83" s="12"/>
      <c r="S83" s="12"/>
      <c r="T83" s="12"/>
      <c r="U83" s="12"/>
      <c r="V83" s="12"/>
      <c r="W83" s="12"/>
      <c r="X83" s="5"/>
      <c r="Y83" s="5"/>
      <c r="Z83" s="5"/>
      <c r="AA83" s="5"/>
      <c r="AB83" s="7"/>
      <c r="AC83" s="12"/>
      <c r="AD83" s="5"/>
      <c r="AE83" s="24"/>
      <c r="AF83" s="9"/>
      <c r="AG83" s="30">
        <f t="shared" si="9"/>
        <v>0</v>
      </c>
      <c r="AH83" s="46">
        <f t="shared" si="3"/>
        <v>0</v>
      </c>
    </row>
    <row r="84" spans="1:34" s="13" customFormat="1" ht="12.75" customHeight="1" hidden="1">
      <c r="A84" s="53" t="s">
        <v>97</v>
      </c>
      <c r="C84" s="12"/>
      <c r="D84" s="12"/>
      <c r="E84" s="12"/>
      <c r="F84" s="12"/>
      <c r="G84" s="12"/>
      <c r="H84" s="12"/>
      <c r="I84" s="12"/>
      <c r="J84" s="12"/>
      <c r="K84" s="4"/>
      <c r="L84" s="12"/>
      <c r="M84" s="30">
        <f t="shared" si="7"/>
        <v>0</v>
      </c>
      <c r="N84" s="17"/>
      <c r="P84" s="10"/>
      <c r="Q84" s="10"/>
      <c r="R84" s="12"/>
      <c r="S84" s="12"/>
      <c r="T84" s="12"/>
      <c r="U84" s="12"/>
      <c r="V84" s="12"/>
      <c r="W84" s="12"/>
      <c r="X84" s="5"/>
      <c r="Y84" s="5"/>
      <c r="Z84" s="5"/>
      <c r="AA84" s="5"/>
      <c r="AB84" s="7"/>
      <c r="AC84" s="12"/>
      <c r="AD84" s="5"/>
      <c r="AE84" s="24"/>
      <c r="AF84" s="9"/>
      <c r="AG84" s="30">
        <f t="shared" si="9"/>
        <v>0</v>
      </c>
      <c r="AH84" s="46">
        <f t="shared" si="3"/>
        <v>0</v>
      </c>
    </row>
    <row r="85" spans="1:34" s="13" customFormat="1" ht="12.75" customHeight="1" hidden="1">
      <c r="A85" s="51" t="s">
        <v>98</v>
      </c>
      <c r="B85" s="3"/>
      <c r="C85" s="5"/>
      <c r="D85" s="5"/>
      <c r="E85" s="12"/>
      <c r="F85" s="12"/>
      <c r="G85" s="12"/>
      <c r="H85" s="12"/>
      <c r="I85" s="12"/>
      <c r="J85" s="12"/>
      <c r="K85" s="4"/>
      <c r="L85" s="12"/>
      <c r="M85" s="30">
        <f t="shared" si="7"/>
        <v>0</v>
      </c>
      <c r="N85" s="17"/>
      <c r="P85" s="10"/>
      <c r="Q85" s="10"/>
      <c r="R85" s="12"/>
      <c r="S85" s="12"/>
      <c r="T85" s="12"/>
      <c r="U85" s="12"/>
      <c r="V85" s="12"/>
      <c r="W85" s="12"/>
      <c r="X85" s="5"/>
      <c r="Y85" s="5"/>
      <c r="Z85" s="5"/>
      <c r="AA85" s="5"/>
      <c r="AB85" s="7"/>
      <c r="AC85" s="12"/>
      <c r="AD85" s="5"/>
      <c r="AE85" s="24"/>
      <c r="AF85" s="9"/>
      <c r="AG85" s="30">
        <f t="shared" si="9"/>
        <v>0</v>
      </c>
      <c r="AH85" s="46">
        <f aca="true" t="shared" si="10" ref="AH85:AH122">M85-AG85</f>
        <v>0</v>
      </c>
    </row>
    <row r="86" spans="1:34" s="13" customFormat="1" ht="12.75" customHeight="1" hidden="1">
      <c r="A86" s="51" t="s">
        <v>100</v>
      </c>
      <c r="B86" s="3"/>
      <c r="C86" s="5"/>
      <c r="D86" s="5"/>
      <c r="E86" s="12"/>
      <c r="F86" s="12"/>
      <c r="G86" s="12"/>
      <c r="H86" s="12"/>
      <c r="I86" s="12"/>
      <c r="J86" s="12"/>
      <c r="K86" s="4"/>
      <c r="L86" s="12"/>
      <c r="M86" s="30">
        <f t="shared" si="7"/>
        <v>0</v>
      </c>
      <c r="N86" s="12"/>
      <c r="P86" s="10"/>
      <c r="Q86" s="10"/>
      <c r="R86" s="12"/>
      <c r="S86" s="12"/>
      <c r="T86" s="12"/>
      <c r="U86" s="12"/>
      <c r="V86" s="12"/>
      <c r="W86" s="12"/>
      <c r="X86" s="5"/>
      <c r="Y86" s="5"/>
      <c r="Z86" s="5"/>
      <c r="AA86" s="5"/>
      <c r="AB86" s="7"/>
      <c r="AC86" s="12"/>
      <c r="AD86" s="5"/>
      <c r="AE86" s="24"/>
      <c r="AF86" s="9"/>
      <c r="AG86" s="30">
        <f t="shared" si="9"/>
        <v>0</v>
      </c>
      <c r="AH86" s="46">
        <f t="shared" si="10"/>
        <v>0</v>
      </c>
    </row>
    <row r="87" spans="1:34" s="13" customFormat="1" ht="12.75" customHeight="1" hidden="1">
      <c r="A87" s="51" t="s">
        <v>102</v>
      </c>
      <c r="B87" s="3"/>
      <c r="C87" s="5"/>
      <c r="D87" s="5"/>
      <c r="E87" s="12"/>
      <c r="F87" s="12"/>
      <c r="G87" s="12"/>
      <c r="H87" s="12"/>
      <c r="I87" s="12"/>
      <c r="J87" s="12"/>
      <c r="K87" s="4"/>
      <c r="L87" s="12"/>
      <c r="M87" s="30">
        <f aca="true" t="shared" si="11" ref="M87:M97">SUM(B87:L87)</f>
        <v>0</v>
      </c>
      <c r="N87" s="12"/>
      <c r="P87" s="10"/>
      <c r="Q87" s="10"/>
      <c r="R87" s="12"/>
      <c r="S87" s="12"/>
      <c r="T87" s="12"/>
      <c r="U87" s="12"/>
      <c r="V87" s="12"/>
      <c r="W87" s="12"/>
      <c r="X87" s="5"/>
      <c r="Y87" s="5"/>
      <c r="Z87" s="5"/>
      <c r="AA87" s="5"/>
      <c r="AB87" s="7"/>
      <c r="AC87" s="12"/>
      <c r="AD87" s="5"/>
      <c r="AE87" s="24"/>
      <c r="AF87" s="9"/>
      <c r="AG87" s="30">
        <f t="shared" si="9"/>
        <v>0</v>
      </c>
      <c r="AH87" s="46">
        <f aca="true" t="shared" si="12" ref="AH87:AH97">M87-AG87</f>
        <v>0</v>
      </c>
    </row>
    <row r="88" spans="1:34" s="13" customFormat="1" ht="12.75" customHeight="1" hidden="1">
      <c r="A88" s="51" t="s">
        <v>130</v>
      </c>
      <c r="B88" s="3"/>
      <c r="C88" s="5"/>
      <c r="D88" s="5"/>
      <c r="E88" s="12"/>
      <c r="F88" s="12"/>
      <c r="G88" s="12"/>
      <c r="H88" s="12"/>
      <c r="I88" s="12"/>
      <c r="J88" s="4"/>
      <c r="K88" s="4"/>
      <c r="L88" s="12"/>
      <c r="M88" s="30">
        <f t="shared" si="11"/>
        <v>0</v>
      </c>
      <c r="N88" s="12"/>
      <c r="P88" s="10"/>
      <c r="Q88" s="10"/>
      <c r="R88" s="12"/>
      <c r="S88" s="12"/>
      <c r="T88" s="12"/>
      <c r="U88" s="12"/>
      <c r="V88" s="12"/>
      <c r="W88" s="12"/>
      <c r="X88" s="5"/>
      <c r="Y88" s="5"/>
      <c r="Z88" s="5"/>
      <c r="AA88" s="5"/>
      <c r="AB88" s="7"/>
      <c r="AC88" s="12"/>
      <c r="AD88" s="5"/>
      <c r="AE88" s="24"/>
      <c r="AF88" s="9"/>
      <c r="AG88" s="30">
        <f aca="true" t="shared" si="13" ref="AG88:AG95">SUM(R88:AF88)</f>
        <v>0</v>
      </c>
      <c r="AH88" s="46">
        <f t="shared" si="12"/>
        <v>0</v>
      </c>
    </row>
    <row r="89" spans="1:34" s="13" customFormat="1" ht="12.75" customHeight="1" hidden="1">
      <c r="A89" s="51" t="s">
        <v>133</v>
      </c>
      <c r="B89" s="3"/>
      <c r="C89" s="5"/>
      <c r="D89" s="5"/>
      <c r="E89" s="12"/>
      <c r="F89" s="12"/>
      <c r="G89" s="12"/>
      <c r="H89" s="12"/>
      <c r="I89" s="12"/>
      <c r="J89" s="12"/>
      <c r="K89" s="4"/>
      <c r="L89" s="12"/>
      <c r="M89" s="30">
        <f t="shared" si="11"/>
        <v>0</v>
      </c>
      <c r="N89" s="12"/>
      <c r="P89" s="10"/>
      <c r="Q89" s="10"/>
      <c r="R89" s="12"/>
      <c r="S89" s="12"/>
      <c r="T89" s="12"/>
      <c r="U89" s="12"/>
      <c r="V89" s="12"/>
      <c r="W89" s="12"/>
      <c r="X89" s="5"/>
      <c r="Y89" s="5"/>
      <c r="Z89" s="5"/>
      <c r="AA89" s="5"/>
      <c r="AB89" s="7"/>
      <c r="AC89" s="12"/>
      <c r="AD89" s="5"/>
      <c r="AE89" s="24"/>
      <c r="AF89" s="9"/>
      <c r="AG89" s="30">
        <f t="shared" si="13"/>
        <v>0</v>
      </c>
      <c r="AH89" s="46">
        <f t="shared" si="12"/>
        <v>0</v>
      </c>
    </row>
    <row r="90" spans="1:34" s="13" customFormat="1" ht="12.75" customHeight="1" hidden="1">
      <c r="A90" s="51" t="s">
        <v>134</v>
      </c>
      <c r="B90" s="3"/>
      <c r="C90" s="5"/>
      <c r="D90" s="5"/>
      <c r="E90" s="12"/>
      <c r="F90" s="12"/>
      <c r="G90" s="12"/>
      <c r="H90" s="12"/>
      <c r="I90" s="12"/>
      <c r="J90" s="12"/>
      <c r="K90" s="4"/>
      <c r="L90" s="12"/>
      <c r="M90" s="30">
        <f t="shared" si="11"/>
        <v>0</v>
      </c>
      <c r="N90" s="12"/>
      <c r="P90" s="10"/>
      <c r="Q90" s="10"/>
      <c r="R90" s="12"/>
      <c r="S90" s="12"/>
      <c r="T90" s="12"/>
      <c r="U90" s="12"/>
      <c r="V90" s="12"/>
      <c r="W90" s="12"/>
      <c r="X90" s="5"/>
      <c r="Y90" s="5"/>
      <c r="Z90" s="5"/>
      <c r="AA90" s="5"/>
      <c r="AB90" s="7"/>
      <c r="AC90" s="12"/>
      <c r="AD90" s="5"/>
      <c r="AE90" s="24"/>
      <c r="AF90" s="9"/>
      <c r="AG90" s="30">
        <f t="shared" si="13"/>
        <v>0</v>
      </c>
      <c r="AH90" s="46">
        <f t="shared" si="12"/>
        <v>0</v>
      </c>
    </row>
    <row r="91" spans="1:34" s="13" customFormat="1" ht="12.75" customHeight="1" hidden="1">
      <c r="A91" s="51" t="s">
        <v>135</v>
      </c>
      <c r="B91" s="3"/>
      <c r="C91" s="5"/>
      <c r="D91" s="5"/>
      <c r="E91" s="12"/>
      <c r="F91" s="12"/>
      <c r="G91" s="12"/>
      <c r="H91" s="12"/>
      <c r="I91" s="12"/>
      <c r="J91" s="4"/>
      <c r="K91" s="5"/>
      <c r="L91" s="12"/>
      <c r="M91" s="30">
        <f t="shared" si="11"/>
        <v>0</v>
      </c>
      <c r="N91" s="12"/>
      <c r="P91" s="10"/>
      <c r="Q91" s="10"/>
      <c r="R91" s="12"/>
      <c r="S91" s="12"/>
      <c r="T91" s="12"/>
      <c r="U91" s="12"/>
      <c r="V91" s="12"/>
      <c r="W91" s="12"/>
      <c r="X91" s="5"/>
      <c r="Y91" s="5"/>
      <c r="Z91" s="5"/>
      <c r="AA91" s="5"/>
      <c r="AB91" s="7"/>
      <c r="AC91" s="12"/>
      <c r="AD91" s="5"/>
      <c r="AE91" s="24"/>
      <c r="AF91" s="9"/>
      <c r="AG91" s="30">
        <f t="shared" si="13"/>
        <v>0</v>
      </c>
      <c r="AH91" s="46">
        <f t="shared" si="12"/>
        <v>0</v>
      </c>
    </row>
    <row r="92" spans="1:34" s="13" customFormat="1" ht="12.75" customHeight="1" hidden="1">
      <c r="A92" s="51" t="s">
        <v>140</v>
      </c>
      <c r="B92" s="3"/>
      <c r="C92" s="5"/>
      <c r="D92" s="5"/>
      <c r="E92" s="12"/>
      <c r="F92" s="12"/>
      <c r="G92" s="12"/>
      <c r="H92" s="12"/>
      <c r="I92" s="12"/>
      <c r="J92" s="4"/>
      <c r="K92" s="5"/>
      <c r="L92" s="12"/>
      <c r="M92" s="30">
        <f>SUM(B92:L92)</f>
        <v>0</v>
      </c>
      <c r="N92" s="12"/>
      <c r="P92" s="10"/>
      <c r="Q92" s="10"/>
      <c r="R92" s="12"/>
      <c r="S92" s="12"/>
      <c r="T92" s="12"/>
      <c r="U92" s="12"/>
      <c r="V92" s="12"/>
      <c r="W92" s="12"/>
      <c r="X92" s="5"/>
      <c r="Y92" s="5"/>
      <c r="Z92" s="5"/>
      <c r="AA92" s="5"/>
      <c r="AB92" s="7"/>
      <c r="AC92" s="12"/>
      <c r="AD92" s="5"/>
      <c r="AE92" s="24"/>
      <c r="AF92" s="9"/>
      <c r="AG92" s="30">
        <f t="shared" si="13"/>
        <v>0</v>
      </c>
      <c r="AH92" s="46">
        <f>M92-AG92</f>
        <v>0</v>
      </c>
    </row>
    <row r="93" spans="1:34" s="13" customFormat="1" ht="21" customHeight="1" hidden="1">
      <c r="A93" s="51" t="s">
        <v>136</v>
      </c>
      <c r="B93" s="3"/>
      <c r="C93" s="5"/>
      <c r="D93" s="5"/>
      <c r="E93" s="12"/>
      <c r="F93" s="12"/>
      <c r="G93" s="12"/>
      <c r="H93" s="12"/>
      <c r="I93" s="12"/>
      <c r="J93" s="12"/>
      <c r="K93" s="4"/>
      <c r="L93" s="12"/>
      <c r="M93" s="30">
        <f>SUM(B93:L93)</f>
        <v>0</v>
      </c>
      <c r="N93" s="12"/>
      <c r="P93" s="10"/>
      <c r="Q93" s="10"/>
      <c r="R93" s="12"/>
      <c r="S93" s="12"/>
      <c r="T93" s="12"/>
      <c r="U93" s="12"/>
      <c r="V93" s="12"/>
      <c r="W93" s="12"/>
      <c r="X93" s="5"/>
      <c r="Y93" s="5"/>
      <c r="Z93" s="5"/>
      <c r="AA93" s="5"/>
      <c r="AB93" s="7"/>
      <c r="AC93" s="12"/>
      <c r="AD93" s="5"/>
      <c r="AE93" s="24"/>
      <c r="AF93" s="9"/>
      <c r="AG93" s="30">
        <f t="shared" si="13"/>
        <v>0</v>
      </c>
      <c r="AH93" s="46">
        <f>M93-AG93</f>
        <v>0</v>
      </c>
    </row>
    <row r="94" spans="1:34" s="13" customFormat="1" ht="27.75" customHeight="1">
      <c r="A94" s="51" t="s">
        <v>149</v>
      </c>
      <c r="B94" s="3"/>
      <c r="C94" s="5"/>
      <c r="D94" s="5"/>
      <c r="E94" s="12"/>
      <c r="F94" s="12"/>
      <c r="G94" s="12"/>
      <c r="H94" s="12"/>
      <c r="I94" s="12"/>
      <c r="J94" s="12"/>
      <c r="K94" s="4">
        <f>(287316/287316*0+5/5*387316/387316)*45150+387416/387416*45150+(382916/382916*0+5/5*392916/392916)*17100+393716/393716*140000+393816/393816*18050+393916/393916*18050+394016/394016*1020+394216/394216*1020+394316/394316*100000+396917/396917*44540+393016/393016*18050+4/4*397017/397017*53750+5/5*(399317/399317*1700000+399517/399517*35150+400017/400017*20300)+6/6*400317/400317*161000+9/9*(394116/394116*510+406617/406617*53000+406717/406717*3800)+10/10*410217/410217*6620000+11/11*(399917/399917*260000+411217/411217*18050+411417/411417*150000+411517/411517*160000)</f>
        <v>9683690</v>
      </c>
      <c r="L94" s="12"/>
      <c r="M94" s="30">
        <f>SUM(B94:L94)</f>
        <v>9683690</v>
      </c>
      <c r="N94" s="12">
        <f>12772417.02*0+14341457.88*0+10/10*18028322.75*0+11/11*19736961.38*0+12/12*21382474.15-O46</f>
        <v>0</v>
      </c>
      <c r="O94" s="9">
        <f>E123-O46</f>
        <v>0</v>
      </c>
      <c r="P94" s="10"/>
      <c r="Q94" s="10"/>
      <c r="R94" s="12"/>
      <c r="S94" s="12"/>
      <c r="T94" s="12"/>
      <c r="U94" s="12"/>
      <c r="V94" s="12"/>
      <c r="W94" s="12"/>
      <c r="X94" s="5">
        <f>9/9*394116/394116*1000</f>
        <v>1000</v>
      </c>
      <c r="Y94" s="5"/>
      <c r="Z94" s="5"/>
      <c r="AA94" s="5"/>
      <c r="AB94" s="7"/>
      <c r="AC94" s="12"/>
      <c r="AD94" s="5"/>
      <c r="AE94" s="24"/>
      <c r="AF94" s="9"/>
      <c r="AG94" s="30">
        <f t="shared" si="13"/>
        <v>1000</v>
      </c>
      <c r="AH94" s="46">
        <f>M94-AG94</f>
        <v>9682690</v>
      </c>
    </row>
    <row r="95" spans="1:34" s="13" customFormat="1" ht="33.75">
      <c r="A95" s="51" t="s">
        <v>158</v>
      </c>
      <c r="B95" s="3"/>
      <c r="C95" s="5"/>
      <c r="D95" s="5"/>
      <c r="E95" s="12"/>
      <c r="F95" s="12"/>
      <c r="G95" s="12"/>
      <c r="H95" s="12"/>
      <c r="I95" s="12"/>
      <c r="J95" s="12"/>
      <c r="K95" s="4">
        <f>8/8*(406417/406417*36540+406517/406517*74250)</f>
        <v>110790</v>
      </c>
      <c r="L95" s="12"/>
      <c r="M95" s="30">
        <f>SUM(B95:L95)</f>
        <v>110790</v>
      </c>
      <c r="N95" s="12"/>
      <c r="O95" s="9"/>
      <c r="P95" s="10"/>
      <c r="Q95" s="10"/>
      <c r="R95" s="12"/>
      <c r="S95" s="12"/>
      <c r="T95" s="12"/>
      <c r="U95" s="12"/>
      <c r="V95" s="12"/>
      <c r="W95" s="12"/>
      <c r="X95" s="5">
        <f>8/8*100/100*5000+2286/2286*(5000+4000)*0</f>
        <v>5000</v>
      </c>
      <c r="Y95" s="5"/>
      <c r="Z95" s="5"/>
      <c r="AA95" s="5"/>
      <c r="AB95" s="7"/>
      <c r="AC95" s="12"/>
      <c r="AD95" s="5"/>
      <c r="AE95" s="24"/>
      <c r="AF95" s="9"/>
      <c r="AG95" s="30">
        <f t="shared" si="13"/>
        <v>5000</v>
      </c>
      <c r="AH95" s="46">
        <f>M95-AG95</f>
        <v>105790</v>
      </c>
    </row>
    <row r="96" spans="1:34" s="13" customFormat="1" ht="22.5">
      <c r="A96" s="51" t="s">
        <v>150</v>
      </c>
      <c r="B96" s="3"/>
      <c r="C96" s="5"/>
      <c r="D96" s="5"/>
      <c r="E96" s="12"/>
      <c r="F96" s="12"/>
      <c r="G96" s="12"/>
      <c r="H96" s="12"/>
      <c r="I96" s="12"/>
      <c r="J96" s="12"/>
      <c r="K96" s="4"/>
      <c r="L96" s="12"/>
      <c r="M96" s="30">
        <f>SUM(B96:L96)</f>
        <v>0</v>
      </c>
      <c r="N96" s="12"/>
      <c r="O96" s="9"/>
      <c r="P96" s="10"/>
      <c r="Q96" s="10"/>
      <c r="R96" s="12"/>
      <c r="S96" s="12"/>
      <c r="T96" s="12"/>
      <c r="U96" s="12"/>
      <c r="V96" s="12"/>
      <c r="W96" s="12"/>
      <c r="X96" s="5">
        <f>3/3*526/526*4000+1030/1030*5000+2286/2286*(1000*0+5/5*17335*0+6/6*17635*0+12/12*54187+3/3*500*0)+2604/2604*7018+2638/2638*(7260*0+12/12*9260)+6/6*1892/1892*9922+7/7*22861.5/22861.5*13552*0*12/12+2348/2348*8228+11/11*3332638/3332638*(6750-2250)+12/12*333/333*4/4*2000</f>
        <v>104115</v>
      </c>
      <c r="Y96" s="5"/>
      <c r="Z96" s="5"/>
      <c r="AA96" s="5"/>
      <c r="AB96" s="7"/>
      <c r="AC96" s="12"/>
      <c r="AD96" s="5">
        <f>2286/2286*(6/6*12215+7/7*(26.87+460.67))</f>
        <v>12702.54</v>
      </c>
      <c r="AE96" s="24"/>
      <c r="AF96" s="9">
        <f>526/526*4000+1030/1030*5000+2604/2604*7018+2638/2638*(7260*0+12/12*9260)+1892/1892*9922+2286/2286*43889.54-SUM(R96:AD96)+2348/2348*8228+11/11*3332638/3332638*4500+12/12*25000</f>
        <v>0</v>
      </c>
      <c r="AG96" s="30">
        <f>SUM(R96:AF96)</f>
        <v>116817.54000000001</v>
      </c>
      <c r="AH96" s="46">
        <f>M96-AG96</f>
        <v>-116817.54000000001</v>
      </c>
    </row>
    <row r="97" spans="1:34" s="13" customFormat="1" ht="33.75">
      <c r="A97" s="51" t="s">
        <v>151</v>
      </c>
      <c r="B97" s="3"/>
      <c r="C97" s="5"/>
      <c r="D97" s="5"/>
      <c r="E97" s="12"/>
      <c r="F97" s="12"/>
      <c r="G97" s="12"/>
      <c r="H97" s="12"/>
      <c r="I97" s="12"/>
      <c r="J97" s="12"/>
      <c r="K97" s="4">
        <f>8/8*200000/1.21-9.2562</f>
        <v>165279.9999983471</v>
      </c>
      <c r="L97" s="12"/>
      <c r="M97" s="30">
        <f t="shared" si="11"/>
        <v>165279.9999983471</v>
      </c>
      <c r="N97" s="4">
        <f>SUM(M94:M97)</f>
        <v>9959759.999998348</v>
      </c>
      <c r="P97" s="10"/>
      <c r="Q97" s="10"/>
      <c r="R97" s="12"/>
      <c r="S97" s="12"/>
      <c r="T97" s="12"/>
      <c r="U97" s="12"/>
      <c r="V97" s="12"/>
      <c r="W97" s="12"/>
      <c r="X97" s="5">
        <f>17/17*3000+2640/2640*5000+5044/5044*4477+22865/22865*4000+25359/25359*3500+228626/228626*1500+4/4*(1595/1595*4000+1598/1598*3000+963/963*3000)+10/10*(1138/1138*6000+228657/228657*1500*0*12/12+228616/228616*12500*0*12/12)+11/11*(1060/1060*(6534+12/12*2000)*0+282/282*3500)</f>
        <v>40977</v>
      </c>
      <c r="Y97" s="5"/>
      <c r="Z97" s="5"/>
      <c r="AA97" s="5"/>
      <c r="AB97" s="7"/>
      <c r="AC97" s="12"/>
      <c r="AD97" s="5"/>
      <c r="AE97" s="24"/>
      <c r="AF97" s="9"/>
      <c r="AG97" s="30">
        <f t="shared" si="9"/>
        <v>40977</v>
      </c>
      <c r="AH97" s="46">
        <f t="shared" si="12"/>
        <v>124302.9999983471</v>
      </c>
    </row>
    <row r="98" spans="1:34" ht="12" customHeight="1">
      <c r="A98" s="47" t="s">
        <v>15</v>
      </c>
      <c r="C98" s="5">
        <f>2417.22*0+3/3*3817.97*0+4/4*4896.42*0+5/5*6148.42*0+6/6*7437.6*0+7/7*8218.55*0+8/8*9235.02*0+9/9*10263.89*0+10/10*11553.07*0+11/11*12755.48*0+12/12*13660.39</f>
        <v>13660.39</v>
      </c>
      <c r="D98" s="5"/>
      <c r="F98" s="5"/>
      <c r="G98" s="5"/>
      <c r="H98" s="5"/>
      <c r="I98" s="5"/>
      <c r="J98" s="5"/>
      <c r="K98" s="5"/>
      <c r="L98" s="5"/>
      <c r="M98" s="63">
        <f t="shared" si="7"/>
        <v>13660.39</v>
      </c>
      <c r="N98" s="12"/>
      <c r="P98" s="22"/>
      <c r="Q98" s="22"/>
      <c r="R98" s="12"/>
      <c r="S98" s="12"/>
      <c r="T98" s="12"/>
      <c r="U98" s="12"/>
      <c r="V98" s="12"/>
      <c r="W98" s="12"/>
      <c r="Y98" s="5"/>
      <c r="Z98" s="5"/>
      <c r="AA98" s="5"/>
      <c r="AB98" s="7"/>
      <c r="AC98" s="5"/>
      <c r="AD98" s="5"/>
      <c r="AG98" s="63">
        <f aca="true" t="shared" si="14" ref="AG98:AG107">SUM(R98:AF98)</f>
        <v>0</v>
      </c>
      <c r="AH98" s="46">
        <f t="shared" si="10"/>
        <v>13660.39</v>
      </c>
    </row>
    <row r="99" spans="1:34" ht="12.75">
      <c r="A99" s="47" t="s">
        <v>17</v>
      </c>
      <c r="C99" s="5">
        <f>1148.7*0+3/3*2132.12*0+4/4*2793.24*0+5/5*4082.42*0+6/6*4710.48*0+7/7*5247.64*0+8/8*5983.14*0+9/9*6669.05*0+10/10*7255.79*0+11/11*7735.1*0+12/12*8338.37</f>
        <v>8338.37</v>
      </c>
      <c r="D99" s="5"/>
      <c r="F99" s="5"/>
      <c r="G99" s="5"/>
      <c r="H99" s="5"/>
      <c r="I99" s="5"/>
      <c r="J99" s="5"/>
      <c r="K99" s="5"/>
      <c r="L99" s="5"/>
      <c r="M99" s="63">
        <f t="shared" si="7"/>
        <v>8338.37</v>
      </c>
      <c r="N99" s="12"/>
      <c r="P99" s="17"/>
      <c r="Q99" s="17"/>
      <c r="R99" s="12"/>
      <c r="S99" s="12"/>
      <c r="T99" s="12"/>
      <c r="U99" s="12"/>
      <c r="V99" s="12"/>
      <c r="W99" s="12"/>
      <c r="Y99" s="5">
        <f>4/4*7700+(8/8+10/10)*8400+12/12*8400</f>
        <v>32900</v>
      </c>
      <c r="Z99" s="5">
        <f>4/4*2429+(8/8+10/10)*2856+12/12*2856</f>
        <v>10997</v>
      </c>
      <c r="AA99" s="5"/>
      <c r="AB99" s="5"/>
      <c r="AC99" s="5"/>
      <c r="AD99" s="5"/>
      <c r="AG99" s="63">
        <f t="shared" si="14"/>
        <v>43897</v>
      </c>
      <c r="AH99" s="40">
        <f t="shared" si="10"/>
        <v>-35558.63</v>
      </c>
    </row>
    <row r="100" spans="1:34" ht="12.75">
      <c r="A100" s="47" t="s">
        <v>80</v>
      </c>
      <c r="C100" s="5"/>
      <c r="D100" s="5"/>
      <c r="E100" s="5">
        <f>11/11*8759.84</f>
        <v>8759.84</v>
      </c>
      <c r="F100" s="5"/>
      <c r="G100" s="5"/>
      <c r="H100" s="5"/>
      <c r="I100" s="5"/>
      <c r="J100" s="5"/>
      <c r="K100" s="5"/>
      <c r="L100" s="5"/>
      <c r="M100" s="63">
        <f>SUM(B100:L100)</f>
        <v>8759.84</v>
      </c>
      <c r="P100" s="22"/>
      <c r="Q100" s="22"/>
      <c r="R100" s="12"/>
      <c r="S100" s="12"/>
      <c r="T100" s="12"/>
      <c r="U100" s="12"/>
      <c r="V100" s="12"/>
      <c r="W100" s="12"/>
      <c r="Y100" s="5"/>
      <c r="Z100" s="5"/>
      <c r="AA100" s="5"/>
      <c r="AB100" s="5"/>
      <c r="AC100" s="5"/>
      <c r="AD100" s="5"/>
      <c r="AG100" s="63">
        <f t="shared" si="14"/>
        <v>0</v>
      </c>
      <c r="AH100" s="40">
        <f t="shared" si="10"/>
        <v>8759.84</v>
      </c>
    </row>
    <row r="101" spans="1:34" ht="12.75">
      <c r="A101" s="48" t="s">
        <v>143</v>
      </c>
      <c r="C101" s="5">
        <f>100217/100217*80037.98</f>
        <v>80037.98</v>
      </c>
      <c r="D101" s="5"/>
      <c r="F101" s="5"/>
      <c r="G101" s="5"/>
      <c r="H101" s="5"/>
      <c r="I101" s="5"/>
      <c r="J101" s="5"/>
      <c r="K101" s="5"/>
      <c r="L101" s="5"/>
      <c r="M101" s="32">
        <f t="shared" si="7"/>
        <v>80037.98</v>
      </c>
      <c r="P101" s="17"/>
      <c r="Q101" s="17"/>
      <c r="R101" s="4">
        <f>5779.34</f>
        <v>5779.34</v>
      </c>
      <c r="S101" s="4"/>
      <c r="T101" s="4"/>
      <c r="U101" s="4"/>
      <c r="V101" s="4"/>
      <c r="W101" s="12"/>
      <c r="X101" s="5">
        <f>62608*0+3/3*70422*0+6/6*71262</f>
        <v>71262</v>
      </c>
      <c r="Y101" s="5"/>
      <c r="Z101" s="5"/>
      <c r="AA101" s="5"/>
      <c r="AB101" s="5"/>
      <c r="AC101" s="5"/>
      <c r="AD101" s="5"/>
      <c r="AF101" s="24">
        <f>(62014/62014*909+60215/60215*78475.62)*0+2015/2015*3/3*87744.71*0+1.2/1.2*71829.92*0+3/3*73829.92*0+7/7*74609.92*0+62015/62015*565.29*0+3/3*3034.71*0+100217/100217*68387.34*0+3/3*76201.34*0+6/6*77041.34-SUM(R101:AD101)</f>
        <v>0</v>
      </c>
      <c r="AG101" s="32">
        <f t="shared" si="14"/>
        <v>77041.34</v>
      </c>
      <c r="AH101" s="40">
        <f t="shared" si="10"/>
        <v>2996.6399999999994</v>
      </c>
    </row>
    <row r="102" spans="1:34" ht="12.75" hidden="1">
      <c r="A102" s="74" t="s">
        <v>16</v>
      </c>
      <c r="C102" s="5"/>
      <c r="D102" s="5"/>
      <c r="F102" s="5"/>
      <c r="G102" s="5"/>
      <c r="H102" s="5"/>
      <c r="I102" s="5"/>
      <c r="J102" s="5"/>
      <c r="K102" s="5"/>
      <c r="L102" s="5"/>
      <c r="M102" s="29">
        <f t="shared" si="7"/>
        <v>0</v>
      </c>
      <c r="N102" s="15"/>
      <c r="O102" s="15"/>
      <c r="P102" s="17"/>
      <c r="Q102" s="17"/>
      <c r="R102" s="4"/>
      <c r="S102" s="4"/>
      <c r="T102" s="4"/>
      <c r="U102" s="4"/>
      <c r="V102" s="4"/>
      <c r="W102" s="12"/>
      <c r="Y102" s="5"/>
      <c r="Z102" s="5"/>
      <c r="AA102" s="5"/>
      <c r="AB102" s="5"/>
      <c r="AC102" s="5"/>
      <c r="AD102" s="5"/>
      <c r="AG102" s="29">
        <f t="shared" si="14"/>
        <v>0</v>
      </c>
      <c r="AH102" s="40">
        <f t="shared" si="10"/>
        <v>0</v>
      </c>
    </row>
    <row r="103" spans="1:34" ht="12.75" hidden="1">
      <c r="A103" s="74" t="s">
        <v>123</v>
      </c>
      <c r="C103" s="5"/>
      <c r="D103" s="5"/>
      <c r="F103" s="5"/>
      <c r="G103" s="5"/>
      <c r="H103" s="5"/>
      <c r="I103" s="5"/>
      <c r="J103" s="5"/>
      <c r="K103" s="5"/>
      <c r="L103" s="5"/>
      <c r="M103" s="29">
        <f t="shared" si="7"/>
        <v>0</v>
      </c>
      <c r="N103" s="15"/>
      <c r="O103" s="15"/>
      <c r="P103" s="17"/>
      <c r="Q103" s="17"/>
      <c r="R103" s="4"/>
      <c r="S103" s="4"/>
      <c r="T103" s="4"/>
      <c r="U103" s="4"/>
      <c r="V103" s="4"/>
      <c r="W103" s="12"/>
      <c r="Y103" s="5"/>
      <c r="Z103" s="5"/>
      <c r="AA103" s="5"/>
      <c r="AB103" s="5"/>
      <c r="AC103" s="5"/>
      <c r="AD103" s="5"/>
      <c r="AG103" s="29">
        <f t="shared" si="14"/>
        <v>0</v>
      </c>
      <c r="AH103" s="40">
        <f t="shared" si="10"/>
        <v>0</v>
      </c>
    </row>
    <row r="104" spans="1:34" ht="12.75">
      <c r="A104" s="51" t="s">
        <v>124</v>
      </c>
      <c r="C104" s="5"/>
      <c r="D104" s="5"/>
      <c r="E104" s="5">
        <f>24681.27*0+3/3*36996.28*0+4/4*49140.23*0+5/5*61277.57*0+6/6*79107.15*0+7/7*84986.16*0+8/8*92912.17*0+9/9*105272.64*0+10/10*113997.77*0+11/11*127012.74*0+12/12*137312.99</f>
        <v>137312.99</v>
      </c>
      <c r="F104" s="5"/>
      <c r="G104" s="5"/>
      <c r="H104" s="5"/>
      <c r="I104" s="5"/>
      <c r="J104" s="5"/>
      <c r="K104" s="5"/>
      <c r="L104" s="5"/>
      <c r="M104" s="25">
        <f t="shared" si="7"/>
        <v>137312.99</v>
      </c>
      <c r="N104" s="15"/>
      <c r="O104" s="15"/>
      <c r="P104" s="17"/>
      <c r="Q104" s="17"/>
      <c r="R104" s="4">
        <f>6/6*2120*0+8/8*6890*0+11/11*9010</f>
        <v>9010</v>
      </c>
      <c r="S104" s="4"/>
      <c r="T104" s="4"/>
      <c r="U104" s="4"/>
      <c r="V104" s="4"/>
      <c r="W104" s="12"/>
      <c r="X104" s="5">
        <f>650*0+3/3*5267*0+4/4*5589*0+5/5*5857*0+6/6*7351*0+7/7*7476*0+8/8*8586*0+9/9*8888*0+11/11*9159*0+12/12*9445</f>
        <v>9445</v>
      </c>
      <c r="Y104" s="5"/>
      <c r="Z104" s="5"/>
      <c r="AA104" s="5"/>
      <c r="AB104" s="5"/>
      <c r="AC104" s="5"/>
      <c r="AD104" s="5"/>
      <c r="AG104" s="25">
        <f t="shared" si="14"/>
        <v>18455</v>
      </c>
      <c r="AH104" s="40">
        <f t="shared" si="10"/>
        <v>118857.98999999999</v>
      </c>
    </row>
    <row r="105" spans="1:34" ht="12.75" hidden="1">
      <c r="A105" s="51" t="s">
        <v>125</v>
      </c>
      <c r="C105" s="5"/>
      <c r="D105" s="5"/>
      <c r="F105" s="5"/>
      <c r="G105" s="5"/>
      <c r="H105" s="5"/>
      <c r="I105" s="5"/>
      <c r="J105" s="5"/>
      <c r="K105" s="5"/>
      <c r="L105" s="5"/>
      <c r="M105" s="29">
        <f t="shared" si="7"/>
        <v>0</v>
      </c>
      <c r="N105" s="15"/>
      <c r="O105" s="15"/>
      <c r="P105" s="17"/>
      <c r="Q105" s="17"/>
      <c r="R105" s="4"/>
      <c r="S105" s="4"/>
      <c r="T105" s="4"/>
      <c r="U105" s="4"/>
      <c r="V105" s="4"/>
      <c r="W105" s="12"/>
      <c r="Y105" s="5"/>
      <c r="Z105" s="5"/>
      <c r="AA105" s="5"/>
      <c r="AB105" s="5"/>
      <c r="AC105" s="5"/>
      <c r="AD105" s="5"/>
      <c r="AG105" s="29">
        <f t="shared" si="14"/>
        <v>0</v>
      </c>
      <c r="AH105" s="40">
        <f t="shared" si="10"/>
        <v>0</v>
      </c>
    </row>
    <row r="106" spans="1:34" ht="12.75" hidden="1">
      <c r="A106" s="51" t="s">
        <v>126</v>
      </c>
      <c r="C106" s="5"/>
      <c r="D106" s="5"/>
      <c r="F106" s="5"/>
      <c r="G106" s="5"/>
      <c r="H106" s="5"/>
      <c r="I106" s="5"/>
      <c r="J106" s="5"/>
      <c r="K106" s="5"/>
      <c r="L106" s="5"/>
      <c r="M106" s="29">
        <f t="shared" si="7"/>
        <v>0</v>
      </c>
      <c r="N106" s="15"/>
      <c r="O106" s="15"/>
      <c r="P106" s="17"/>
      <c r="Q106" s="17"/>
      <c r="R106" s="4"/>
      <c r="S106" s="4"/>
      <c r="T106" s="4"/>
      <c r="U106" s="4"/>
      <c r="V106" s="4"/>
      <c r="W106" s="12"/>
      <c r="Y106" s="5"/>
      <c r="Z106" s="5"/>
      <c r="AA106" s="5"/>
      <c r="AB106" s="5"/>
      <c r="AC106" s="5"/>
      <c r="AD106" s="5"/>
      <c r="AG106" s="29">
        <f t="shared" si="14"/>
        <v>0</v>
      </c>
      <c r="AH106" s="40">
        <f t="shared" si="10"/>
        <v>0</v>
      </c>
    </row>
    <row r="107" spans="1:34" ht="12.75" hidden="1">
      <c r="A107" s="54" t="s">
        <v>127</v>
      </c>
      <c r="C107" s="5"/>
      <c r="D107" s="5"/>
      <c r="F107" s="5"/>
      <c r="G107" s="5"/>
      <c r="H107" s="5"/>
      <c r="I107" s="5"/>
      <c r="J107" s="5"/>
      <c r="K107" s="5"/>
      <c r="L107" s="5"/>
      <c r="M107" s="29">
        <f t="shared" si="7"/>
        <v>0</v>
      </c>
      <c r="N107" s="15"/>
      <c r="O107" s="15"/>
      <c r="P107" s="17"/>
      <c r="Q107" s="17"/>
      <c r="R107" s="4"/>
      <c r="S107" s="4"/>
      <c r="T107" s="4"/>
      <c r="U107" s="4"/>
      <c r="V107" s="4"/>
      <c r="W107" s="12"/>
      <c r="Y107" s="5"/>
      <c r="Z107" s="5"/>
      <c r="AA107" s="5"/>
      <c r="AB107" s="5"/>
      <c r="AC107" s="5"/>
      <c r="AD107" s="5"/>
      <c r="AG107" s="29">
        <f t="shared" si="14"/>
        <v>0</v>
      </c>
      <c r="AH107" s="40">
        <f t="shared" si="10"/>
        <v>0</v>
      </c>
    </row>
    <row r="108" spans="1:34" ht="12.75" hidden="1">
      <c r="A108" s="13" t="s">
        <v>46</v>
      </c>
      <c r="C108" s="5"/>
      <c r="D108" s="5"/>
      <c r="F108" s="5"/>
      <c r="G108" s="5"/>
      <c r="H108" s="5"/>
      <c r="I108" s="5"/>
      <c r="J108" s="5"/>
      <c r="K108" s="5"/>
      <c r="L108" s="5"/>
      <c r="M108" s="29">
        <f t="shared" si="7"/>
        <v>0</v>
      </c>
      <c r="N108" s="15"/>
      <c r="O108" s="15"/>
      <c r="P108" s="17"/>
      <c r="Q108" s="17"/>
      <c r="R108" s="4"/>
      <c r="S108" s="4"/>
      <c r="T108" s="4"/>
      <c r="U108" s="4"/>
      <c r="V108" s="4"/>
      <c r="W108" s="12"/>
      <c r="Y108" s="5"/>
      <c r="Z108" s="5"/>
      <c r="AA108" s="5"/>
      <c r="AB108" s="5"/>
      <c r="AC108" s="5"/>
      <c r="AD108" s="5"/>
      <c r="AG108" s="29">
        <f aca="true" t="shared" si="15" ref="AG108:AG113">SUM(R108:AF108)</f>
        <v>0</v>
      </c>
      <c r="AH108" s="40">
        <f t="shared" si="10"/>
        <v>0</v>
      </c>
    </row>
    <row r="109" spans="1:34" ht="12.75" hidden="1">
      <c r="A109" s="13" t="s">
        <v>66</v>
      </c>
      <c r="C109" s="5"/>
      <c r="D109" s="5"/>
      <c r="F109" s="5"/>
      <c r="G109" s="5"/>
      <c r="H109" s="5"/>
      <c r="I109" s="5"/>
      <c r="J109" s="5"/>
      <c r="K109" s="5"/>
      <c r="L109" s="5"/>
      <c r="M109" s="32">
        <f t="shared" si="7"/>
        <v>0</v>
      </c>
      <c r="N109" s="15"/>
      <c r="O109" s="15"/>
      <c r="P109" s="17"/>
      <c r="Q109" s="17"/>
      <c r="R109" s="4"/>
      <c r="S109" s="4"/>
      <c r="T109" s="4"/>
      <c r="U109" s="4"/>
      <c r="V109" s="4"/>
      <c r="W109" s="12"/>
      <c r="Y109" s="5"/>
      <c r="Z109" s="5"/>
      <c r="AA109" s="5"/>
      <c r="AB109" s="5"/>
      <c r="AC109" s="5"/>
      <c r="AD109" s="5"/>
      <c r="AG109" s="32">
        <f t="shared" si="15"/>
        <v>0</v>
      </c>
      <c r="AH109" s="40">
        <f t="shared" si="10"/>
        <v>0</v>
      </c>
    </row>
    <row r="110" spans="1:34" ht="12.75" hidden="1">
      <c r="A110" s="13" t="s">
        <v>67</v>
      </c>
      <c r="C110" s="5"/>
      <c r="D110" s="5"/>
      <c r="F110" s="5"/>
      <c r="G110" s="5"/>
      <c r="H110" s="5"/>
      <c r="I110" s="5"/>
      <c r="J110" s="5"/>
      <c r="K110" s="5"/>
      <c r="L110" s="5"/>
      <c r="M110" s="32">
        <f t="shared" si="7"/>
        <v>0</v>
      </c>
      <c r="N110" s="15"/>
      <c r="O110" s="15"/>
      <c r="P110" s="17"/>
      <c r="Q110" s="17"/>
      <c r="R110" s="4"/>
      <c r="S110" s="4"/>
      <c r="T110" s="4"/>
      <c r="U110" s="4"/>
      <c r="V110" s="4"/>
      <c r="W110" s="12"/>
      <c r="Y110" s="5"/>
      <c r="Z110" s="5"/>
      <c r="AA110" s="5"/>
      <c r="AB110" s="5"/>
      <c r="AC110" s="5"/>
      <c r="AD110" s="5"/>
      <c r="AG110" s="32">
        <f t="shared" si="15"/>
        <v>0</v>
      </c>
      <c r="AH110" s="40">
        <f t="shared" si="10"/>
        <v>0</v>
      </c>
    </row>
    <row r="111" spans="3:34" ht="12.75" hidden="1">
      <c r="C111" s="5"/>
      <c r="D111" s="5"/>
      <c r="F111" s="5"/>
      <c r="G111" s="5"/>
      <c r="H111" s="5"/>
      <c r="I111" s="5"/>
      <c r="J111" s="5"/>
      <c r="K111" s="5"/>
      <c r="L111" s="5"/>
      <c r="M111" s="29">
        <f aca="true" t="shared" si="16" ref="M111:M119">SUM(B111:L111)</f>
        <v>0</v>
      </c>
      <c r="N111" s="15"/>
      <c r="O111" s="15"/>
      <c r="P111" s="17"/>
      <c r="Q111" s="17"/>
      <c r="R111" s="4"/>
      <c r="S111" s="4"/>
      <c r="T111" s="4"/>
      <c r="U111" s="4"/>
      <c r="V111" s="4"/>
      <c r="W111" s="12"/>
      <c r="Y111" s="5"/>
      <c r="Z111" s="5"/>
      <c r="AA111" s="5"/>
      <c r="AB111" s="5"/>
      <c r="AC111" s="5"/>
      <c r="AD111" s="5"/>
      <c r="AG111" s="29">
        <f t="shared" si="15"/>
        <v>0</v>
      </c>
      <c r="AH111" s="40">
        <f t="shared" si="10"/>
        <v>0</v>
      </c>
    </row>
    <row r="112" spans="3:34" ht="12.75" hidden="1">
      <c r="C112" s="5"/>
      <c r="D112" s="5"/>
      <c r="F112" s="5"/>
      <c r="G112" s="5"/>
      <c r="H112" s="5"/>
      <c r="I112" s="5"/>
      <c r="J112" s="5"/>
      <c r="K112" s="5"/>
      <c r="L112" s="5"/>
      <c r="M112" s="29">
        <f t="shared" si="16"/>
        <v>0</v>
      </c>
      <c r="N112" s="15"/>
      <c r="O112" s="15"/>
      <c r="P112" s="17"/>
      <c r="Q112" s="17"/>
      <c r="R112" s="4"/>
      <c r="S112" s="4"/>
      <c r="T112" s="4"/>
      <c r="U112" s="4"/>
      <c r="V112" s="4"/>
      <c r="W112" s="12"/>
      <c r="Y112" s="5"/>
      <c r="Z112" s="5"/>
      <c r="AA112" s="5"/>
      <c r="AB112" s="5"/>
      <c r="AC112" s="5"/>
      <c r="AD112" s="5"/>
      <c r="AG112" s="29">
        <f t="shared" si="15"/>
        <v>0</v>
      </c>
      <c r="AH112" s="40">
        <f t="shared" si="10"/>
        <v>0</v>
      </c>
    </row>
    <row r="113" spans="1:34" ht="12.75" hidden="1">
      <c r="A113" s="13" t="s">
        <v>128</v>
      </c>
      <c r="C113" s="5"/>
      <c r="D113" s="5"/>
      <c r="F113" s="5"/>
      <c r="G113" s="5"/>
      <c r="H113" s="5"/>
      <c r="I113" s="5"/>
      <c r="J113" s="5"/>
      <c r="K113" s="5"/>
      <c r="L113" s="5"/>
      <c r="M113" s="29">
        <f t="shared" si="16"/>
        <v>0</v>
      </c>
      <c r="N113" s="15"/>
      <c r="O113" s="15"/>
      <c r="P113" s="17"/>
      <c r="Q113" s="17"/>
      <c r="R113" s="4"/>
      <c r="S113" s="4"/>
      <c r="T113" s="4"/>
      <c r="U113" s="4"/>
      <c r="V113" s="4"/>
      <c r="W113" s="12"/>
      <c r="Y113" s="5"/>
      <c r="Z113" s="5"/>
      <c r="AA113" s="5"/>
      <c r="AB113" s="5"/>
      <c r="AC113" s="5"/>
      <c r="AD113" s="5"/>
      <c r="AG113" s="29">
        <f t="shared" si="15"/>
        <v>0</v>
      </c>
      <c r="AH113" s="40">
        <f t="shared" si="10"/>
        <v>0</v>
      </c>
    </row>
    <row r="114" spans="1:34" ht="12.75" hidden="1">
      <c r="A114" s="13" t="s">
        <v>27</v>
      </c>
      <c r="C114" s="5"/>
      <c r="D114" s="5"/>
      <c r="F114" s="5"/>
      <c r="G114" s="5"/>
      <c r="H114" s="5"/>
      <c r="I114" s="5"/>
      <c r="J114" s="5"/>
      <c r="K114" s="5"/>
      <c r="L114" s="5"/>
      <c r="M114" s="29">
        <f t="shared" si="16"/>
        <v>0</v>
      </c>
      <c r="N114" s="15"/>
      <c r="O114" s="15"/>
      <c r="P114" s="17"/>
      <c r="Q114" s="17"/>
      <c r="R114" s="4"/>
      <c r="S114" s="4"/>
      <c r="T114" s="4"/>
      <c r="U114" s="4"/>
      <c r="V114" s="4"/>
      <c r="W114" s="12"/>
      <c r="Y114" s="5"/>
      <c r="Z114" s="5"/>
      <c r="AA114" s="5"/>
      <c r="AB114" s="5"/>
      <c r="AC114" s="5"/>
      <c r="AD114" s="5"/>
      <c r="AG114" s="29">
        <f aca="true" t="shared" si="17" ref="AG114:AG119">SUM(R114:AF114)</f>
        <v>0</v>
      </c>
      <c r="AH114" s="40">
        <f t="shared" si="10"/>
        <v>0</v>
      </c>
    </row>
    <row r="115" spans="1:34" ht="12.75" hidden="1">
      <c r="A115" s="13" t="s">
        <v>57</v>
      </c>
      <c r="C115" s="5"/>
      <c r="D115" s="5"/>
      <c r="F115" s="5"/>
      <c r="G115" s="5"/>
      <c r="H115" s="5"/>
      <c r="I115" s="5"/>
      <c r="J115" s="5"/>
      <c r="K115" s="5"/>
      <c r="L115" s="5"/>
      <c r="M115" s="25">
        <f t="shared" si="16"/>
        <v>0</v>
      </c>
      <c r="N115" s="15"/>
      <c r="O115" s="15"/>
      <c r="P115" s="17"/>
      <c r="Q115" s="17"/>
      <c r="R115" s="4"/>
      <c r="S115" s="4"/>
      <c r="T115" s="4"/>
      <c r="U115" s="4"/>
      <c r="V115" s="4"/>
      <c r="W115" s="12"/>
      <c r="Y115" s="5"/>
      <c r="Z115" s="5"/>
      <c r="AA115" s="5"/>
      <c r="AB115" s="5"/>
      <c r="AC115" s="5"/>
      <c r="AD115" s="5"/>
      <c r="AG115" s="25">
        <f>SUM(R115:AF115)</f>
        <v>0</v>
      </c>
      <c r="AH115" s="40">
        <f t="shared" si="10"/>
        <v>0</v>
      </c>
    </row>
    <row r="116" spans="1:34" ht="12.75" hidden="1">
      <c r="A116" s="13" t="s">
        <v>28</v>
      </c>
      <c r="C116" s="12"/>
      <c r="D116" s="5"/>
      <c r="F116" s="5"/>
      <c r="G116" s="5"/>
      <c r="H116" s="5"/>
      <c r="I116" s="5"/>
      <c r="J116" s="5"/>
      <c r="K116" s="5"/>
      <c r="L116" s="5"/>
      <c r="M116" s="29">
        <f t="shared" si="16"/>
        <v>0</v>
      </c>
      <c r="N116" s="15"/>
      <c r="O116" s="15"/>
      <c r="P116" s="17"/>
      <c r="Q116" s="17"/>
      <c r="R116" s="4"/>
      <c r="S116" s="4"/>
      <c r="T116" s="4"/>
      <c r="U116" s="4"/>
      <c r="V116" s="4"/>
      <c r="W116" s="12"/>
      <c r="Y116" s="5"/>
      <c r="Z116" s="5"/>
      <c r="AA116" s="5"/>
      <c r="AB116" s="5"/>
      <c r="AC116" s="5"/>
      <c r="AD116" s="5"/>
      <c r="AG116" s="29">
        <f t="shared" si="17"/>
        <v>0</v>
      </c>
      <c r="AH116" s="40">
        <f t="shared" si="10"/>
        <v>0</v>
      </c>
    </row>
    <row r="117" spans="1:34" ht="12.75" hidden="1">
      <c r="A117" s="13" t="s">
        <v>31</v>
      </c>
      <c r="C117" s="12"/>
      <c r="D117" s="5"/>
      <c r="F117" s="5"/>
      <c r="G117" s="5"/>
      <c r="H117" s="5"/>
      <c r="I117" s="5"/>
      <c r="J117" s="5"/>
      <c r="K117" s="5"/>
      <c r="L117" s="5"/>
      <c r="M117" s="29">
        <f t="shared" si="16"/>
        <v>0</v>
      </c>
      <c r="N117" s="15"/>
      <c r="O117" s="15"/>
      <c r="P117" s="17"/>
      <c r="Q117" s="17"/>
      <c r="R117" s="4"/>
      <c r="S117" s="4"/>
      <c r="T117" s="4"/>
      <c r="U117" s="4"/>
      <c r="V117" s="4"/>
      <c r="W117" s="12"/>
      <c r="Y117" s="5"/>
      <c r="Z117" s="5"/>
      <c r="AA117" s="5"/>
      <c r="AB117" s="5"/>
      <c r="AC117" s="5"/>
      <c r="AD117" s="5"/>
      <c r="AG117" s="29">
        <f t="shared" si="17"/>
        <v>0</v>
      </c>
      <c r="AH117" s="40">
        <f t="shared" si="10"/>
        <v>0</v>
      </c>
    </row>
    <row r="118" spans="1:34" ht="12.75" hidden="1">
      <c r="A118" s="13" t="s">
        <v>58</v>
      </c>
      <c r="D118" s="5"/>
      <c r="F118" s="5"/>
      <c r="G118" s="5"/>
      <c r="H118" s="5"/>
      <c r="I118" s="5"/>
      <c r="J118" s="5"/>
      <c r="K118" s="5"/>
      <c r="L118" s="5"/>
      <c r="M118" s="29">
        <f t="shared" si="16"/>
        <v>0</v>
      </c>
      <c r="N118" s="12"/>
      <c r="O118" s="15"/>
      <c r="P118" s="17"/>
      <c r="Q118" s="17"/>
      <c r="R118" s="4"/>
      <c r="S118" s="4"/>
      <c r="T118" s="4"/>
      <c r="U118" s="4"/>
      <c r="V118" s="4"/>
      <c r="W118" s="12"/>
      <c r="Y118" s="5"/>
      <c r="Z118" s="5"/>
      <c r="AA118" s="5"/>
      <c r="AB118" s="5"/>
      <c r="AC118" s="5"/>
      <c r="AD118" s="5"/>
      <c r="AG118" s="29">
        <f t="shared" si="17"/>
        <v>0</v>
      </c>
      <c r="AH118" s="40">
        <f t="shared" si="10"/>
        <v>0</v>
      </c>
    </row>
    <row r="119" spans="1:34" s="13" customFormat="1" ht="12.75" hidden="1">
      <c r="A119" s="13" t="s">
        <v>39</v>
      </c>
      <c r="D119" s="12"/>
      <c r="E119" s="12"/>
      <c r="F119" s="12"/>
      <c r="G119" s="12"/>
      <c r="H119" s="12"/>
      <c r="I119" s="12"/>
      <c r="J119" s="12"/>
      <c r="K119" s="4"/>
      <c r="L119" s="12"/>
      <c r="M119" s="29">
        <f t="shared" si="16"/>
        <v>0</v>
      </c>
      <c r="N119" s="15"/>
      <c r="O119" s="15"/>
      <c r="P119" s="10">
        <f>E122-P122</f>
        <v>276614.9600000002</v>
      </c>
      <c r="Q119" s="11" t="s">
        <v>43</v>
      </c>
      <c r="R119" s="4"/>
      <c r="S119" s="4"/>
      <c r="T119" s="4"/>
      <c r="U119" s="4"/>
      <c r="V119" s="4"/>
      <c r="W119" s="12"/>
      <c r="X119" s="5"/>
      <c r="Y119" s="5"/>
      <c r="Z119" s="5"/>
      <c r="AA119" s="12"/>
      <c r="AB119" s="12"/>
      <c r="AC119" s="12"/>
      <c r="AD119" s="5"/>
      <c r="AE119" s="24"/>
      <c r="AF119" s="24"/>
      <c r="AG119" s="29">
        <f t="shared" si="17"/>
        <v>0</v>
      </c>
      <c r="AH119" s="40">
        <f t="shared" si="10"/>
        <v>0</v>
      </c>
    </row>
    <row r="120" spans="1:34" s="13" customFormat="1" ht="12" customHeight="1">
      <c r="A120" s="55" t="s">
        <v>152</v>
      </c>
      <c r="D120" s="12"/>
      <c r="E120" s="5">
        <f>6/6*403717/403717*15000+11/11*(413117/413117*50000+414817/414817*50000+414917/414917*20000)</f>
        <v>135000</v>
      </c>
      <c r="F120" s="12"/>
      <c r="G120" s="12"/>
      <c r="H120" s="12"/>
      <c r="I120" s="12"/>
      <c r="J120" s="61"/>
      <c r="K120" s="58"/>
      <c r="L120" s="12"/>
      <c r="M120" s="79">
        <f>SUM(B120:E120,F120:L120)</f>
        <v>135000</v>
      </c>
      <c r="N120" s="15"/>
      <c r="O120" s="15"/>
      <c r="P120" s="10"/>
      <c r="Q120" s="11"/>
      <c r="R120" s="4"/>
      <c r="S120" s="4"/>
      <c r="T120" s="4"/>
      <c r="U120" s="4"/>
      <c r="V120" s="4"/>
      <c r="W120" s="12"/>
      <c r="X120" s="5"/>
      <c r="Y120" s="5"/>
      <c r="Z120" s="5"/>
      <c r="AA120" s="12"/>
      <c r="AB120" s="12"/>
      <c r="AC120" s="12"/>
      <c r="AD120" s="5"/>
      <c r="AE120" s="24"/>
      <c r="AF120" s="24"/>
      <c r="AG120" s="25">
        <f>SUM(R120:AF120)</f>
        <v>0</v>
      </c>
      <c r="AH120" s="40">
        <f t="shared" si="10"/>
        <v>135000</v>
      </c>
    </row>
    <row r="121" spans="1:34" s="13" customFormat="1" ht="12.75" customHeight="1" hidden="1">
      <c r="A121" s="55"/>
      <c r="C121" s="12"/>
      <c r="D121" s="12"/>
      <c r="E121" s="5"/>
      <c r="F121" s="12"/>
      <c r="G121" s="12"/>
      <c r="H121" s="12"/>
      <c r="I121" s="12"/>
      <c r="J121" s="61"/>
      <c r="K121" s="58"/>
      <c r="L121" s="12"/>
      <c r="M121" s="79"/>
      <c r="N121" s="15"/>
      <c r="O121" s="15"/>
      <c r="P121" s="10"/>
      <c r="Q121" s="11"/>
      <c r="R121" s="4"/>
      <c r="S121" s="4"/>
      <c r="T121" s="4"/>
      <c r="U121" s="4"/>
      <c r="V121" s="4"/>
      <c r="W121" s="12"/>
      <c r="X121" s="5"/>
      <c r="Y121" s="5"/>
      <c r="Z121" s="5"/>
      <c r="AA121" s="12"/>
      <c r="AB121" s="12"/>
      <c r="AC121" s="12"/>
      <c r="AD121" s="5"/>
      <c r="AE121" s="24"/>
      <c r="AF121" s="24"/>
      <c r="AG121" s="25"/>
      <c r="AH121" s="40"/>
    </row>
    <row r="122" spans="1:34" ht="27.75">
      <c r="A122" s="56" t="s">
        <v>153</v>
      </c>
      <c r="C122" s="5">
        <f>100217/100217*80037.98*0+5/5*310413/310413*102245+(6/6+9/9+9/9*3/3+12/12)*270412/270412*3000+6/6*(399217/399217*10890+267612/267612*35760)+7/7*383716/383716*3583+9/9*(366615/366615*77200+406317/406317*880)+10/10*141510/141510*60661.16+12/12*365415/365415*2000+411917/411917*20037.5</f>
        <v>325256.66000000003</v>
      </c>
      <c r="D122" s="5"/>
      <c r="E122" s="5">
        <f>36198/36198*(85509.25*(1+4/4+7/7+10/10)+0.25)+79100/79100*53273.75+86101/86101*38000+227310/227310*88570+266212/266212*(36628*0+3/3*54942*0+4/4*73256*0+5/5*91570*0+6/6*109884*0+7/7*128198*0+8/8*146512*0+9/9*164826*0+10/10*183140*0+11/11*201454*0+12/12*219768)+(358415/358415+7/7)*20000+380216/380216*(70474*0+3/3*105711*0+4/4*140948*0+5/5*176185*0+6/6*211422*0+7/7*246659*0+8/8*281896*0+9/9*317133*0+10/10*352370*0+11/11*387607*0+12/12*422844)+(3/3+9/9)*84101/84101*92560.5+133504/133504*60000*(3/3+6/6+9/9+12/12)+(269212/269212+9/9*269210/269210)*50625+296013/296013*4200+385416/385416*47521.31+(4/4+7/7+10/10)*269312/269312*53273.75+5/5*400917/400917*2000+6/6*6001000137/6001000137*694.18+7/7*404517/404517*(40000+6667)+10/10*(408217/408217*31680.87+410517/410517*749.96)</f>
        <v>2024198.57</v>
      </c>
      <c r="F122" s="5"/>
      <c r="G122" s="5"/>
      <c r="H122" s="5"/>
      <c r="I122" s="5"/>
      <c r="J122" s="5">
        <f>3/3*270412/270412*3000*0*602/602+7/7*406417/406417*1000+9/9*3300000</f>
        <v>3301000</v>
      </c>
      <c r="K122" s="5"/>
      <c r="L122" s="5"/>
      <c r="M122" s="79">
        <f>SUM(B122:E122,F122:L122)</f>
        <v>5650455.23</v>
      </c>
      <c r="N122" s="15"/>
      <c r="O122" s="15"/>
      <c r="P122" s="10">
        <f>O42*0+P63+O45</f>
        <v>1747583.6099999999</v>
      </c>
      <c r="Q122" s="11" t="s">
        <v>42</v>
      </c>
      <c r="R122" s="4"/>
      <c r="S122" s="4"/>
      <c r="T122" s="4">
        <f>9/9*621522/621522*58628</f>
        <v>58628</v>
      </c>
      <c r="U122" s="4"/>
      <c r="V122" s="4">
        <f>5/5*270412/270412*2980+6/6*600503/600503*725.62+11/11*36198/36198*39831</f>
        <v>43536.62</v>
      </c>
      <c r="W122" s="12"/>
      <c r="X122" s="5">
        <f>14652005/14652005*100+6005000003/6005000003*(4900*0+3/3*9800*0+4/4*25006*0+5/5*29906*0+6/6*34806*0+7/7*39706*0+8/8*44606*0+9/9*49506*0+10/10*0+54406*0+11/11*59306*0+12/12*69106)+4/4*1578/1578*15730+9/9*339514/339514*10000+12/12*6004000014/6004000014*1126</f>
        <v>96062</v>
      </c>
      <c r="Y122" s="5"/>
      <c r="Z122" s="5"/>
      <c r="AA122" s="5"/>
      <c r="AB122" s="24">
        <f>538/538*6004/6004*(13000*0+5/5*8738)*0</f>
        <v>0</v>
      </c>
      <c r="AC122" s="5"/>
      <c r="AD122" s="5"/>
      <c r="AF122" s="5">
        <f>(3/3*(6002/6002*(77.5*0+6/6*49/49*(155*0+9/9*232.5*0+12/12*310)+9/9*20/20*625*0+(58/58+9/9)*98*0)+6003/6003*(900*0+6/6*1800*0+9/9*2700)+6004/6004*9000+6005/6005*6/6*4745*0*511/511)*0+7/7*(47798/47798*(556/556*-17575+557/557*17575)+62799/62799*(556/556*-6435+557/557*6435)+138405/138405*(556/556*-76118+557/557*76118)+10/10*600249/600249*232.5*0+12/12*(6002/6002*310+6003/6003*2700+6004/6004*10/10*9000)*0+12/12*56/56*103.5)*(0-3/3*0*12/12)+2017/2017*0)+6/6*(39498/39498*(556/556*-840+557/557*560)+6001/6001*137/137*280+6003/6003*1/1*-9000+12/12*11/11*6002056/6002056*-103.5)</f>
        <v>-9103.5</v>
      </c>
      <c r="AG122" s="79">
        <f>SUM(R122:AF122)</f>
        <v>189123.12</v>
      </c>
      <c r="AH122" s="40">
        <f t="shared" si="10"/>
        <v>5461332.11</v>
      </c>
    </row>
    <row r="123" spans="1:34" s="28" customFormat="1" ht="12.75">
      <c r="A123" s="13"/>
      <c r="C123" s="29">
        <f aca="true" t="shared" si="18" ref="C123:M123">SUM(C4:C122)</f>
        <v>2700390.7700000005</v>
      </c>
      <c r="D123" s="29"/>
      <c r="E123" s="70">
        <f>SUM(E4:E122)</f>
        <v>21382474.15</v>
      </c>
      <c r="F123" s="29">
        <f t="shared" si="18"/>
        <v>7913.35999966087</v>
      </c>
      <c r="G123" s="29">
        <f t="shared" si="18"/>
        <v>0</v>
      </c>
      <c r="H123" s="29">
        <f>SUM(H4:H122)</f>
        <v>18305</v>
      </c>
      <c r="I123" s="29">
        <f t="shared" si="18"/>
        <v>0</v>
      </c>
      <c r="J123" s="29">
        <f t="shared" si="18"/>
        <v>-805037.73</v>
      </c>
      <c r="K123" s="29">
        <f>SUM(K4:K122)</f>
        <v>9959759.999998348</v>
      </c>
      <c r="L123" s="29">
        <f t="shared" si="18"/>
        <v>6725.219999999999</v>
      </c>
      <c r="M123" s="29">
        <f t="shared" si="18"/>
        <v>33270530.769998007</v>
      </c>
      <c r="N123" s="15"/>
      <c r="O123" s="15"/>
      <c r="P123" s="15">
        <f>123/123*(421975+423119-219515/(1+0.09+0.25)*0-(16105+7130+34741+15613+18606+18079+14335+14636+16044+17062/2))+456/456*(458173+403238-217658/(1+0.09+0.25)*0-(15705+7557+710+34071+15213+18774+709+17679+15206+15326+16044+5432/2*2))-Y123</f>
        <v>-2381119</v>
      </c>
      <c r="Q123" s="15">
        <f>123/123*(142650+142334-(5476+2426+11811+5310+6326+6148+4873+4975+5451+5798/2))+456/456*(154974+133485-(5340+2569+(243/2+0.5)+11586+5174+6381+244+6014+5171+5213+5451+1846/2*2))-Z123</f>
        <v>-739896</v>
      </c>
      <c r="R123" s="2">
        <f>SUM(R4:R122)</f>
        <v>33799.899999999994</v>
      </c>
      <c r="S123" s="2"/>
      <c r="T123" s="2">
        <f>SUM(T4:T122)</f>
        <v>826105.06</v>
      </c>
      <c r="U123" s="2">
        <f>SUM(U4:U122)</f>
        <v>0</v>
      </c>
      <c r="V123" s="71">
        <f>SUM(V4:V122)</f>
        <v>2898474.37</v>
      </c>
      <c r="W123" s="2"/>
      <c r="X123" s="71">
        <f>SUM(X4:X122)</f>
        <v>2835006.66</v>
      </c>
      <c r="Y123" s="2">
        <f>SUM(Y4:Y122)</f>
        <v>3761378</v>
      </c>
      <c r="Z123" s="2">
        <f>SUM(Z4:Z122)</f>
        <v>1202533</v>
      </c>
      <c r="AA123" s="2"/>
      <c r="AB123" s="29">
        <f aca="true" t="shared" si="19" ref="AB123:AG123">SUM(AB4:AB122)</f>
        <v>38763</v>
      </c>
      <c r="AC123" s="29">
        <f t="shared" si="19"/>
        <v>0</v>
      </c>
      <c r="AD123" s="29">
        <f t="shared" si="19"/>
        <v>45350.47</v>
      </c>
      <c r="AE123" s="29">
        <f t="shared" si="19"/>
        <v>0</v>
      </c>
      <c r="AF123" s="70">
        <f>SUM(AF4:AF122)</f>
        <v>-9103.499999999982</v>
      </c>
      <c r="AG123" s="2">
        <f t="shared" si="19"/>
        <v>11632306.959999997</v>
      </c>
      <c r="AH123" s="80">
        <f>SUM(AH4:AH122)</f>
        <v>21638223.80999801</v>
      </c>
    </row>
    <row r="124" spans="3:34" s="6" customFormat="1" ht="11.25">
      <c r="C124" s="14">
        <f>11/11*2525487.12*0+12/12*2734150.96*0+2017/2017*2/2*482660.18*0+3/3*699054.38*0+4/4*906062.21*0+5/5*1173083.98*0+6/6*1422818.78*0+7/7*1512574.37*0+8/8*1632855.63*0+9/9*1897438.64*0+10/10*2212165.14*0+11/11*2414502.01*0+12/12*2700390.77-C123</f>
        <v>0</v>
      </c>
      <c r="D124" s="41"/>
      <c r="E124" s="14">
        <f>11/11*19286455.42*0+12/12*20906339.25*0+2017/2017*2/2*3557437.33*0+3/3*5728981.73*0+4/4*7583059.32*0+5/5*9178810.44*0+6/6*10885715.45*0+7/7*12772417.02*0+8/8*14341457.88*0+9/9*16175379.59*0+10/10*18028322.75*0+11/11*19736961.38*0+12/12*21382474.15-E123</f>
        <v>0</v>
      </c>
      <c r="F124" s="14">
        <f>11/11*10652.6*0+12/12*11565.68*0+2017/2017*2/2*608.72*0+3/3*913.08*0+4/4*2130.52*0+5/5*2434.88*0+6/6*2739.24*0+3347.96*0+8/8*3652.32*0+9/9*3956.68*0+10/10*7609*0+11/11*7913.36-F123</f>
        <v>3.3912965591298416E-07</v>
      </c>
      <c r="G124" s="41"/>
      <c r="H124" s="14">
        <f>11/11*15983*0+12/12*17344*0+2017/2017*2/2*2825*0+3/3*4289*0+4/4*5753*0+5/5*7217*0+6/6*8681*0+7/7*10145*0+8/8*12449*0+9/9*13913*0+10/10*15377*0+11/11*16841*0+12/12*18305-H123</f>
        <v>0</v>
      </c>
      <c r="I124" s="14"/>
      <c r="J124" s="41">
        <f>2015/2015*12/12*-5090433.68*0+2016/2016*1.2/1.2*8908.51*0+3/3*17449.2*0+4/4*66687.59*0+5/5*85945.95*0+6/6*191276.83*0+7/7*191276.6*0+8/8*12783793.59*0+9/9*2231130.23*0+10/10*2282762.15*0+11/11*2380699.51*0+12/12*-5566981*0+2017/2017*2/2*12143.4*0+3/3*46703.88*0+4/4*90169.4*0+5/5*155859.5*0+6/6*221184.21*0+7/7*222184.14*0+8/8*330750.61*0+9/9*4114126.74*0+10/10*4153123.95*0+11/11*4221155.68*0+12/12*-805037.73-J123</f>
        <v>0</v>
      </c>
      <c r="K124" s="41">
        <f>646/646*2015/2015*2000*0+2016/2016*3/3*115000*4/4*5/5*0+9/9*173000*0+2017/2017*2/2*0+8/8*165280+647/647*2015/2015*12/12*18770249*0+2016/2016*1.2/1.2*12741260*0+3/3*(12741260*0+12806260)*0+5/5*12976260*0+6/6*12976260*0+8/8*12776125.21*0+9/9*27250944.77*0+10/10*28215474.77*0+11/11*28350924.77*0+2017/2017*2/2*385540*0+3/3*448130*0+4/4*501880*0+5/5*2257330*0+6/6*2418330*0+8/8*2529120*0+9/9*2586430*0+10/10*9206430*0+11/11*9794480-K123</f>
        <v>1.6521662473678589E-06</v>
      </c>
      <c r="L124" s="14">
        <f>662/662*(2015/2015*12/12*31493.18*0)+2016/2016*1.2/1.2*0+3/3*1050.78*4/4*5/5*0+6/6*2308.41*7/7*8/8*0+9/9*3463.39*0+12/12*4979.41*0+2017/2017*2/2*0+3/3*1670.7*0+6/6*3370.99*0+9/9*4891.96*0+12/12*6725.22-L123</f>
        <v>0</v>
      </c>
      <c r="M124" s="14">
        <f>2015/2015*12/12*37161970.79*0+2016/2016*1.2/1.2*16854909.96*0+3/3*19410898.87*0+4/4*21405219.77*0+5/5*23320253.31*0+6/6*25306698.97*0+7/7*27236047.27*0+8/8*41279968.5*0+9/9*47223789.1*0+10/10*50542323.21*0+11/11*52746665.81*0+12/12*46631323.07*0+2017/2017*2/2*4441214.63*0+3/3*6929742.77*0+4/4*9090725.15*0+5/5*12776406.5*0+6/6*14962839.67*0+7/7*16942369.48*0+8/8*19018936.43*0+9/9*24961416.61*0+10/10*33793199.8*0+11/11*36362025.39*0+12/12*33270530.77-M123</f>
        <v>1.993030309677124E-06</v>
      </c>
      <c r="N124" s="76"/>
      <c r="O124" s="76"/>
      <c r="P124" s="21">
        <f>P20+P30</f>
        <v>0</v>
      </c>
      <c r="Q124" s="21">
        <f>Q20+Q30</f>
        <v>0</v>
      </c>
      <c r="R124" s="14">
        <f>12/12*109748.27*0+2015/2015*12/12*248413.75*0+2016/2016*1.2/1.2*20143.85*0+3/3*32113.02*0+4/4*38571.02*0+5/5*38802.02*0+6/6*39381.02*0+7/7*47747.12*0+8/8*181858.19*0+9/9*182064.8*0+10/10*187277.88*0+11/11*198897.88*0+12/12*227838.28*0+2017/2017*2/2*8457.61*0+3/3*10854.01*0+4/4*10989.01*0+5/5*12349.01*0+6/6*14943.78*0+7/7*15065.78*0+8/8*20389.58*0+9/9*21349.58*0+10/10*22012.43*0+11/11*33651.15*0+12/12*33799.9-R123</f>
        <v>0</v>
      </c>
      <c r="S124" s="14"/>
      <c r="T124" s="14">
        <f>(502/502*12/12*891232.47+504/504*29652)*0+502/502*2015/2015*12/12*(770896.52+504/504*44100)*0+2016/2016*1.2/1.2*1856.7*0+5/5*2509.7*0+8/8*31262.7*0+9/9*755169.26*0+10/10*771936.26*0+11/11*774618.26*0+12/12*784618.26*0+2017/2017*2/2*43078.77*0+3/3*34845.77*0+4/4*35994.77*0+5/5*41082.77*0+6/6*41782.77*0+7/7*43638.77*0+8/8*45718.77*0+9/9*745636.77*0+11/11*801211.06*0+12/12*817005.06+504/504*12/12*13300*0+2017/2017*(2/2*0+12/12*9100)-T123</f>
        <v>0</v>
      </c>
      <c r="U124" s="14">
        <f>0-U123</f>
        <v>0</v>
      </c>
      <c r="V124" s="66">
        <f>12/12*1455737.85*0+2015/2015*12/12*2407494.62*0+2016/2016*1.2/1.2*277003.68*0+3/3*765045.38*0+4/4*831156.53*0+5/5*1086887.03*0+6/6*1234405.78*0+7/7*1267441.33*0+8/8*1511200.95*0+9/9*1666963.75*0+10/10*1817546.5*0+11/11*1934557.53*0+12/12*2558625.88*0+2017/2017*2/2*153302.44*0+3/3*404706.99*0+4/4*515340.66*0+5/5*1417463.56*0+6/6*1556704.73*0+7/7*1986358.93*0+8/8*2171698.26*0+9/9*2232039.28*0+10/10*2331207.25*0+11/11*2615674.89*0+12/12*2898474.37-V123</f>
        <v>0</v>
      </c>
      <c r="W124" s="14"/>
      <c r="X124" s="66">
        <f>12/12*2283892.39*0+2015/2015*12/12*2334029.44*0+2016/2016*1.2/1.2*415413.22*0+3/3*1035901.81*0+4/4*1260915.83*0+5/5*1490665.24*0+6/6*1647047.63*0+7/7*1817743.59*0+8/8*1923882.16*0+9/9*2141403.32*0+10/10*2381106.05*0+11/11*2671373.55*0+12/12*3021450.04*0+2017/2017*2/2*438886.27*0+3/3*781222.94*0+4/4*1016988.22*0+5/5*1299572.88*0+6/6*1459027.97*0+7/7*1652607.33*0+8/8*1846741.77*0+9/9*1981179.95*0+10/10*2313642.15*0+11/11*2505728.43*0+12/12*2835006.66-X123</f>
        <v>0</v>
      </c>
      <c r="Y124" s="14">
        <f>12/12*3078739*0+2015/2015*12/12*3103228*0-Y123+2016/2016*4/4*782595*5/5*6/6*0+7/7*1591777*0+8/8*9/9*10/10*2460475*11/11*0+12/12*3299513*0+2017/2017*2/2*0+4/4*882027*0+8/8*1797932*0+10/10*2779777*0+12/12*3761378</f>
        <v>0</v>
      </c>
      <c r="Z124" s="14">
        <f>12/12*993516*0+2015/2015*12/12*999406*0-Z123+2016/2016*4/4*251559*5/5*6/6*0+7/7*511184*0+8/8*9/9*10/10*790937*11/11*0+12/12*1055982*0+2017/2017*2/2*0+4/4*281336*0+8/8*572266*0+10/10*889554*0+12/12*1202533</f>
        <v>0</v>
      </c>
      <c r="AA124" s="14"/>
      <c r="AB124" s="41">
        <f>532/532*8/8*1629*0+2015/2015*8/8*1639*(0+82016/82016)*0+82017/82017*1636+538/538*(12/12*179304.3*0+1.2/1.2*8872*0+3/3*16812*0+4/4*597368*0+5/5*598124*0+6/6*624324*0+7/7*624843*0+8/8*624891*0+9/9*624961*0+10/10*640672*0+11/11*1412968*0+12/12*1415293*0+2017/2017*2/2*36363*0+3/3*36418*0+4/4*36507*0+5/5*36599*0+6/6*36749*0+7/7*36868*0+8/8*36923*0+9/9*36972*0+10/10*37040*0+11/11*37098*0+12/12*37127)+558/558*12/12*7698.81*0+538/538*2015/2015*12/12*(1086940-4459*0)*0-AB123</f>
        <v>0</v>
      </c>
      <c r="AC124" s="14"/>
      <c r="AD124" s="14">
        <f>549/549*12/12*191841.63*0+2015/2015*12/12*-8469.58*0+2016/2016*1.2/1.2*0+9/9*-0.75*0+10/10*-0.25*11/11*0+12/12*0.54*0+2017/2017*2/2*0.2*0+6/6*12215.7*0+7/7*12215.69*0+8/8*12216.17*0+9/9*12216.02*0+10/10*12217.11*0+11/11*12217.87*0+12/12*12217.93+3/3*541/541*32248*0+7/7*32735.54+542/542*10/10*397-AD123</f>
        <v>0</v>
      </c>
      <c r="AE124" s="14">
        <f>554/554*0-AE123</f>
        <v>0</v>
      </c>
      <c r="AF124" s="78">
        <f>0+556/556*12/12*55879.1*0+2016/2016*3/3*925.7*4/4*5/5*0+6/6*598.2*7/7*8/8*0+9/9*922.9*0+10/10*302.9*11/11*0+12/12*-2694.8*0+2017/2017*0+3/3*-103.5*0+6/6*-9943.5+2015/2015*12/12*-100471.15*0+557/557*2015/2015*7/7*113778.75*0+12/12*3244*0+2017/2017*6/6*840+558/558*2015/2015*(6417.82*0+12/12*4459*0)*0-AF123</f>
        <v>-1.8189894035458565E-11</v>
      </c>
      <c r="AG124" s="41">
        <f>12/12*9320845.82*0+2015/2015*12/12*11005444.35*0+1.2/1.2*723289.45*0+3/3*1852654.61*0+4/4*3764947.78*0+5/5*4252067.69*0+6/6*4582420.33*0+7/7*5863843.94*0+8/8*6378293.2*0+9/9*7476084.28*0+10/10*9051892.34*0+11/11*10245768.87*0+12/12*12378809.2*0+2017/2017*2/2*680088.29*0+3/3*1300192.41*0+4/4*2811327.36*0+5/5*4002574.92*0+6/6*4307931.45*0+7/7*4933749.54*0+8/8*6529153.59*0+9/9*7424859.64*0+10/10*9156751.75*0+11/11*9700577.44*0+12/12*11632306.96-AG123</f>
        <v>0</v>
      </c>
      <c r="AH124" s="66">
        <f>4/4*9984021.72*0+5/5*19493032.01*0+6/6*21775953.9*0+7/7*22035354.83*0+9/9*27614674.65*0+12/12*26156526.44*0+2016/2016*1.2/1.2*16131620.51*0+3/3*17558244.26*0+4/4*17640271.99*0+5/5*19068185.62*0+6/6*20724278.64*0+7/7*5863843.94*0+34901675.3*0+9/9*40197558.32*0+10/10*41490430.87*0+11/11*42500896.94*0+12/12*34252513.87*0+2017/2017*2/2*3761126.34*0+4/4*6279397.79*0+5/5*8773831.58*0+6/6*10654908.22*0+7/7*12008619.94*0+8/8*12489782.84*0+9/9*17536556.97*0+10/10*24636448.05*0+12/12*21638223.81-AH123</f>
        <v>1.989305019378662E-06</v>
      </c>
    </row>
    <row r="125" spans="4:34" ht="10.5" customHeight="1">
      <c r="D125" s="5"/>
      <c r="F125" s="5"/>
      <c r="G125" s="5"/>
      <c r="H125" s="45"/>
      <c r="I125" s="5"/>
      <c r="J125" s="9" t="s">
        <v>156</v>
      </c>
      <c r="M125" s="14">
        <f>SUM(C124:L124)</f>
        <v>1.991295903280843E-06</v>
      </c>
      <c r="W125" s="5"/>
      <c r="X125" s="3"/>
      <c r="AG125" s="41">
        <f>SUM(R124:AF124)</f>
        <v>-1.8189894035458565E-11</v>
      </c>
      <c r="AH125" s="66">
        <f>M123-AG123</f>
        <v>21638223.80999801</v>
      </c>
    </row>
    <row r="126" spans="10:33" ht="10.5" customHeight="1">
      <c r="J126" s="9">
        <v>-5075632.74</v>
      </c>
      <c r="M126" s="14">
        <f>M124-M125</f>
        <v>1.7344063962809741E-09</v>
      </c>
      <c r="AG126" s="41">
        <f>AG124-AG125</f>
        <v>1.8189894035458565E-11</v>
      </c>
    </row>
  </sheetData>
  <sheetProtection/>
  <mergeCells count="2">
    <mergeCell ref="C2:M2"/>
    <mergeCell ref="R2:AG2"/>
  </mergeCells>
  <printOptions gridLines="1"/>
  <pageMargins left="0.3937007874015748" right="0" top="0.5118110236220472" bottom="0.3937007874015748" header="0.31496062992125984" footer="0.31496062992125984"/>
  <pageSetup horizontalDpi="600" verticalDpi="600" orientation="landscape" paperSize="9" scale="75" r:id="rId1"/>
  <headerFooter alignWithMargins="0">
    <oddHeader>&amp;L&amp;"Arial,tučné kurzíva"&amp;11Ekonomická činnost MČ 1-12/2017&amp;R&amp;"Arial,tučné kurzíva"ZMČ 18.06.2018 ZÚ příl 2c/</oddHeader>
    <oddFooter>&amp;L&amp;8&amp;F&amp;R&amp;8&amp;P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Tišlová Marta</cp:lastModifiedBy>
  <cp:lastPrinted>2018-06-03T04:43:05Z</cp:lastPrinted>
  <dcterms:created xsi:type="dcterms:W3CDTF">2010-02-16T05:05:18Z</dcterms:created>
  <dcterms:modified xsi:type="dcterms:W3CDTF">2018-06-03T04:43:33Z</dcterms:modified>
  <cp:category/>
  <cp:version/>
  <cp:contentType/>
  <cp:contentStatus/>
</cp:coreProperties>
</file>