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15" yWindow="4215" windowWidth="13740" windowHeight="5715" activeTab="0"/>
  </bookViews>
  <sheets>
    <sheet name="List1" sheetId="1" r:id="rId1"/>
    <sheet name="List2" sheetId="2" r:id="rId2"/>
    <sheet name="List3" sheetId="3" r:id="rId3"/>
  </sheets>
  <definedNames>
    <definedName name="_xlnm.Print_Titles" localSheetId="0">'List1'!$1:$3</definedName>
  </definedNames>
  <calcPr fullCalcOnLoad="1"/>
</workbook>
</file>

<file path=xl/sharedStrings.xml><?xml version="1.0" encoding="utf-8"?>
<sst xmlns="http://schemas.openxmlformats.org/spreadsheetml/2006/main" count="190" uniqueCount="147">
  <si>
    <t>V Ý D A J E</t>
  </si>
  <si>
    <t>P Ř Í J M Y</t>
  </si>
  <si>
    <t>UR stát, HMP</t>
  </si>
  <si>
    <t>2141 úroky</t>
  </si>
  <si>
    <t>4112 dotace stát:</t>
  </si>
  <si>
    <t>2460 splátky půjček SFZ</t>
  </si>
  <si>
    <t>1341-5,7,51 místní poplatky</t>
  </si>
  <si>
    <t>1361 správní poplatky</t>
  </si>
  <si>
    <t>1511 daň z nemovitostí</t>
  </si>
  <si>
    <t>4121 HMP dotace</t>
  </si>
  <si>
    <t>4131 z účtu ekon.činnosti</t>
  </si>
  <si>
    <t>3636 územní rozvoj</t>
  </si>
  <si>
    <t>3639 komun.služby</t>
  </si>
  <si>
    <t>3421 dětská hřiště</t>
  </si>
  <si>
    <t>3745 veřejná zeleň</t>
  </si>
  <si>
    <t>2212 silnice</t>
  </si>
  <si>
    <t>3111 mat.škola</t>
  </si>
  <si>
    <t>3113 zákl.škola</t>
  </si>
  <si>
    <t>3141 škol.jídelna</t>
  </si>
  <si>
    <t>4351/1,2 domy s peč.sl</t>
  </si>
  <si>
    <t>4351/4 přísp.stravné</t>
  </si>
  <si>
    <t>4351 peč.služba</t>
  </si>
  <si>
    <t>4319 soc. péče</t>
  </si>
  <si>
    <t>4329 péče o mládež</t>
  </si>
  <si>
    <t>4359 ost.soc</t>
  </si>
  <si>
    <t>4379 péče o seniory</t>
  </si>
  <si>
    <t>3314 knihovna</t>
  </si>
  <si>
    <t>3319 kult.střed</t>
  </si>
  <si>
    <t>3319 kronika,letopis</t>
  </si>
  <si>
    <t>3319 kult.akce</t>
  </si>
  <si>
    <t>3412 sport.zař</t>
  </si>
  <si>
    <t>5512 dobrov.hasiči</t>
  </si>
  <si>
    <t>3639,3632 techn.sl</t>
  </si>
  <si>
    <t>08      HOSPODÁŘSTVÍ</t>
  </si>
  <si>
    <t>6112 ZMČ</t>
  </si>
  <si>
    <t>6171 objekty 21,23,732</t>
  </si>
  <si>
    <t>kulturní akce</t>
  </si>
  <si>
    <t>různé organizační</t>
  </si>
  <si>
    <t>volby</t>
  </si>
  <si>
    <t>10                              FINANCOVÁNÍ</t>
  </si>
  <si>
    <t>MČ CELKEM</t>
  </si>
  <si>
    <r>
      <t>2310</t>
    </r>
    <r>
      <rPr>
        <sz val="8"/>
        <rFont val="Arial"/>
        <family val="0"/>
      </rPr>
      <t xml:space="preserve"> voda </t>
    </r>
    <r>
      <rPr>
        <sz val="9"/>
        <rFont val="Arial"/>
        <family val="0"/>
      </rPr>
      <t>2321</t>
    </r>
    <r>
      <rPr>
        <sz val="8"/>
        <rFont val="Arial"/>
        <family val="0"/>
      </rPr>
      <t xml:space="preserve"> odp. voda </t>
    </r>
    <r>
      <rPr>
        <sz val="9"/>
        <rFont val="Arial"/>
        <family val="0"/>
      </rPr>
      <t>3722</t>
    </r>
    <r>
      <rPr>
        <sz val="8"/>
        <rFont val="Arial"/>
        <family val="0"/>
      </rPr>
      <t xml:space="preserve"> odpady</t>
    </r>
  </si>
  <si>
    <t xml:space="preserve">    soc. služby</t>
  </si>
  <si>
    <t xml:space="preserve">    prevence SO P 16</t>
  </si>
  <si>
    <t xml:space="preserve">   výkon agendy SPOD</t>
  </si>
  <si>
    <t xml:space="preserve">   zkoušky odb.způsob</t>
  </si>
  <si>
    <t xml:space="preserve">   likvidace povodň.škod</t>
  </si>
  <si>
    <t>4121 dotace HMP:</t>
  </si>
  <si>
    <t>HMP aktivity soc.služeb</t>
  </si>
  <si>
    <t>HMP přísp.na provoz</t>
  </si>
  <si>
    <t>HMP likvidace povodň.škod</t>
  </si>
  <si>
    <t>4116 dotace stát:</t>
  </si>
  <si>
    <t xml:space="preserve">      Povodňový fond MČ</t>
  </si>
  <si>
    <t>07    B E Z P E Č N O S T</t>
  </si>
  <si>
    <t>06    KULTURA  A  SPORT</t>
  </si>
  <si>
    <t>04   Š K O L S T V Í</t>
  </si>
  <si>
    <t>05    SOC. A  ZDRAV.</t>
  </si>
  <si>
    <t>01  Ú Z E M N Í  R O Z V O J</t>
  </si>
  <si>
    <t>02   INFRASTRUKTURA</t>
  </si>
  <si>
    <t>03   D O P R A V A</t>
  </si>
  <si>
    <r>
      <t>221</t>
    </r>
    <r>
      <rPr>
        <sz val="8"/>
        <rFont val="Arial"/>
        <family val="2"/>
      </rPr>
      <t>2</t>
    </r>
    <r>
      <rPr>
        <sz val="8"/>
        <rFont val="Arial"/>
        <family val="0"/>
      </rPr>
      <t xml:space="preserve"> sankce</t>
    </r>
  </si>
  <si>
    <r>
      <t>dary</t>
    </r>
    <r>
      <rPr>
        <sz val="8"/>
        <rFont val="Arial"/>
        <family val="2"/>
      </rPr>
      <t xml:space="preserve"> 2321 neinv 3121 inv 4129 SO</t>
    </r>
  </si>
  <si>
    <t>Návrh UR 2014</t>
  </si>
  <si>
    <t xml:space="preserve"> rozdíl příjmů a výdajů:</t>
  </si>
  <si>
    <t>účelová dotace HMP</t>
  </si>
  <si>
    <t>4121 výnos DPPO za 2013</t>
  </si>
  <si>
    <r>
      <t>4121 výnos loterie</t>
    </r>
    <r>
      <rPr>
        <sz val="7"/>
        <rFont val="Arial"/>
        <family val="2"/>
      </rPr>
      <t xml:space="preserve"> HMP 3 Q 2013 doplatek</t>
    </r>
  </si>
  <si>
    <r>
      <t>3722</t>
    </r>
    <r>
      <rPr>
        <sz val="8"/>
        <rFont val="Arial"/>
        <family val="0"/>
      </rPr>
      <t xml:space="preserve"> odpady provoz Sběrného dvora</t>
    </r>
  </si>
  <si>
    <r>
      <t xml:space="preserve">2329 nahod </t>
    </r>
    <r>
      <rPr>
        <sz val="8"/>
        <rFont val="Arial"/>
        <family val="2"/>
      </rPr>
      <t>(z r. 2013), 2322 poj.pln</t>
    </r>
  </si>
  <si>
    <t>09    VNITŘNÍ  SPRÁVA</t>
  </si>
  <si>
    <t>Schvál. rozpočet 2014</t>
  </si>
  <si>
    <r>
      <t xml:space="preserve">  4319 nezisk.org </t>
    </r>
    <r>
      <rPr>
        <sz val="8"/>
        <rFont val="Arial"/>
        <family val="2"/>
      </rPr>
      <t>výnos z loterií</t>
    </r>
    <r>
      <rPr>
        <sz val="7"/>
        <rFont val="Arial"/>
        <family val="2"/>
      </rPr>
      <t xml:space="preserve"> dopl. 3Q 2013</t>
    </r>
  </si>
  <si>
    <r>
      <t xml:space="preserve">   3421 Dětská hřiště </t>
    </r>
    <r>
      <rPr>
        <sz val="8"/>
        <rFont val="Arial"/>
        <family val="2"/>
      </rPr>
      <t>výnos z loterií</t>
    </r>
  </si>
  <si>
    <t>UR ZMČ 18/06</t>
  </si>
  <si>
    <t>3113 Zákl.škola prevence UZ 33122</t>
  </si>
  <si>
    <t>6171 pěstounská péče mzd.nákl</t>
  </si>
  <si>
    <t xml:space="preserve"> účel.dotace stát</t>
  </si>
  <si>
    <t>3113 Zákl.škola prevence UZ 081</t>
  </si>
  <si>
    <t xml:space="preserve"> účel.dotace HMP</t>
  </si>
  <si>
    <t>Soc.služby pro SO P 16 UZ 081</t>
  </si>
  <si>
    <t>6171 ÚMČ Zkoušky odb.způs.</t>
  </si>
  <si>
    <t>účelová inv.dotace HMP</t>
  </si>
  <si>
    <t>3314 knihovna VISK 3</t>
  </si>
  <si>
    <t xml:space="preserve"> účel.dotace stát MinKult</t>
  </si>
  <si>
    <t>2322 poj.plnění</t>
  </si>
  <si>
    <t>2329 nahodilé</t>
  </si>
  <si>
    <t>UR ZMČ 24/09</t>
  </si>
  <si>
    <t>6117 ÚMČ volby do EP</t>
  </si>
  <si>
    <t>3539 zdrav zařízení zateplení</t>
  </si>
  <si>
    <r>
      <t xml:space="preserve">  ZŠ objekty </t>
    </r>
    <r>
      <rPr>
        <sz val="8"/>
        <rFont val="Arial"/>
        <family val="2"/>
      </rPr>
      <t xml:space="preserve">údržba výnos z loterií </t>
    </r>
    <r>
      <rPr>
        <sz val="7"/>
        <rFont val="Arial"/>
        <family val="2"/>
      </rPr>
      <t>dopl. 3Q 2013</t>
    </r>
  </si>
  <si>
    <r>
      <t xml:space="preserve">  MŠ objekty</t>
    </r>
    <r>
      <rPr>
        <sz val="8"/>
        <rFont val="Arial"/>
        <family val="2"/>
      </rPr>
      <t xml:space="preserve"> údržba výnos z loterií</t>
    </r>
    <r>
      <rPr>
        <sz val="7"/>
        <rFont val="Arial"/>
        <family val="2"/>
      </rPr>
      <t xml:space="preserve"> dopl. 3Q 2013</t>
    </r>
  </si>
  <si>
    <t>3113 Zákl.škola mzd.prostř UZ 096</t>
  </si>
  <si>
    <t>3113 Mat.škola mzd.prostř UZ 096</t>
  </si>
  <si>
    <t>3141 Škol.jídelna mzd.prostř UZ 096</t>
  </si>
  <si>
    <t>4213,4216 účel.dotace stát</t>
  </si>
  <si>
    <t>3113 Zákl.škola Rek.příst.cest UZ 084</t>
  </si>
  <si>
    <t>2219 Snížení imis.zátěže MinŽP</t>
  </si>
  <si>
    <t>2219 Zlepš.kvality ovzduší MinŽP</t>
  </si>
  <si>
    <t>5512 dobrov.hasiči přísp.provoz</t>
  </si>
  <si>
    <t xml:space="preserve"> účel.dotace HMP+stát</t>
  </si>
  <si>
    <t>PS Soc.služby MPSV UZ 13305</t>
  </si>
  <si>
    <t xml:space="preserve"> FV 2013</t>
  </si>
  <si>
    <t>3723 svoz odpadů Podz.kontejn</t>
  </si>
  <si>
    <t>UR ZMČ 15/12</t>
  </si>
  <si>
    <t>6115 ÚMČ volby obec</t>
  </si>
  <si>
    <t>2339 Lávka přes Ber UZ 084; Mostek Prvom</t>
  </si>
  <si>
    <t>účel.dot SFŽP</t>
  </si>
  <si>
    <t>Mostek 600</t>
  </si>
  <si>
    <t>Kontejn 900</t>
  </si>
  <si>
    <t>Cyklost 500</t>
  </si>
  <si>
    <t>Fontána 400</t>
  </si>
  <si>
    <t>PD příst 200</t>
  </si>
  <si>
    <t>Park.baz 1200 Biotop 650 Jezera 350</t>
  </si>
  <si>
    <t>Zatepl 3000 Radon 4500 demol 250</t>
  </si>
  <si>
    <t>Rek.hřbit 1000</t>
  </si>
  <si>
    <t>Místo u řeky 900</t>
  </si>
  <si>
    <t>Návrh rozpočtu 2015</t>
  </si>
  <si>
    <t>2339 Mostek Prvom</t>
  </si>
  <si>
    <r>
      <t xml:space="preserve">  4321 sport.hřiště </t>
    </r>
  </si>
  <si>
    <t xml:space="preserve">  4319 nezisk.org</t>
  </si>
  <si>
    <t xml:space="preserve">   3421 Dětská hřiště</t>
  </si>
  <si>
    <t>investiční akce zateplení radnice</t>
  </si>
  <si>
    <t>Účelové prostředky CELKEM</t>
  </si>
  <si>
    <t>Účelové prostředky poskytnuté Městské části Praha 16 v roce 2014:</t>
  </si>
  <si>
    <r>
      <t xml:space="preserve">  MŠ objekty</t>
    </r>
    <r>
      <rPr>
        <sz val="8"/>
        <rFont val="Arial"/>
        <family val="2"/>
      </rPr>
      <t xml:space="preserve"> údržba výnos z loterií</t>
    </r>
    <r>
      <rPr>
        <sz val="7"/>
        <rFont val="Arial"/>
        <family val="2"/>
      </rPr>
      <t xml:space="preserve"> 4Q 2013+;1.Q 2014</t>
    </r>
  </si>
  <si>
    <r>
      <t>3113 Zákl.škola integrace UZ 081 261,4+</t>
    </r>
    <r>
      <rPr>
        <sz val="8"/>
        <rFont val="Arial"/>
        <family val="2"/>
      </rPr>
      <t>284,9</t>
    </r>
  </si>
  <si>
    <r>
      <t>4351/2</t>
    </r>
    <r>
      <rPr>
        <sz val="9"/>
        <rFont val="Arial"/>
        <family val="2"/>
      </rPr>
      <t xml:space="preserve"> dům</t>
    </r>
    <r>
      <rPr>
        <sz val="8"/>
        <rFont val="Arial"/>
        <family val="2"/>
      </rPr>
      <t xml:space="preserve"> s peč.sl. výnos z loterií </t>
    </r>
    <r>
      <rPr>
        <sz val="7"/>
        <rFont val="Arial"/>
        <family val="2"/>
      </rPr>
      <t>4Q 2013</t>
    </r>
  </si>
  <si>
    <r>
      <t xml:space="preserve">  4351 peč.služba </t>
    </r>
    <r>
      <rPr>
        <sz val="8"/>
        <rFont val="Arial"/>
        <family val="2"/>
      </rPr>
      <t>výnos z loterií</t>
    </r>
    <r>
      <rPr>
        <sz val="7"/>
        <rFont val="Arial"/>
        <family val="2"/>
      </rPr>
      <t xml:space="preserve"> 4Q 2013</t>
    </r>
  </si>
  <si>
    <r>
      <t>4339 pěstounská péče 336</t>
    </r>
    <r>
      <rPr>
        <sz val="9"/>
        <rFont val="Arial"/>
        <family val="2"/>
      </rPr>
      <t>+72,00</t>
    </r>
  </si>
  <si>
    <r>
      <t>6171 výkon SPOD 923+</t>
    </r>
    <r>
      <rPr>
        <sz val="9"/>
        <rFont val="Arial"/>
        <family val="2"/>
      </rPr>
      <t>1155,9+dopl 2013/525,2</t>
    </r>
  </si>
  <si>
    <r>
      <t>4121 výnos loterie</t>
    </r>
    <r>
      <rPr>
        <sz val="7"/>
        <rFont val="Arial"/>
        <family val="0"/>
      </rPr>
      <t xml:space="preserve"> HMP 4 Q 2013+1.Q 2014</t>
    </r>
  </si>
  <si>
    <t>Příjmy celkem:</t>
  </si>
  <si>
    <t xml:space="preserve"> Výdaje celkem:</t>
  </si>
  <si>
    <t>UR 31/12/14</t>
  </si>
  <si>
    <r>
      <t xml:space="preserve">2219 ost.zál.komun </t>
    </r>
    <r>
      <rPr>
        <sz val="9"/>
        <rFont val="Arial"/>
        <family val="2"/>
      </rPr>
      <t>+ DPPO UZ 099</t>
    </r>
  </si>
  <si>
    <r>
      <t xml:space="preserve">3113 Zákl.škola Rek.příst.cest+okna </t>
    </r>
    <r>
      <rPr>
        <sz val="8"/>
        <rFont val="Arial"/>
        <family val="0"/>
      </rPr>
      <t>DPPO UZ 099</t>
    </r>
  </si>
  <si>
    <r>
      <t xml:space="preserve">3231 ZUŠ učebna </t>
    </r>
    <r>
      <rPr>
        <sz val="9"/>
        <rFont val="Arial"/>
        <family val="0"/>
      </rPr>
      <t>DPPO UZ 099</t>
    </r>
  </si>
  <si>
    <r>
      <t xml:space="preserve">3313 kino + </t>
    </r>
    <r>
      <rPr>
        <sz val="9"/>
        <rFont val="Arial"/>
        <family val="2"/>
      </rPr>
      <t>DPPO UZ 099</t>
    </r>
  </si>
  <si>
    <r>
      <t>3612 bytové hosp. +</t>
    </r>
    <r>
      <rPr>
        <sz val="9"/>
        <rFont val="Arial"/>
        <family val="2"/>
      </rPr>
      <t>DPPO UZ 099</t>
    </r>
  </si>
  <si>
    <r>
      <t>6171 úřad provoz +</t>
    </r>
    <r>
      <rPr>
        <sz val="9"/>
        <rFont val="Arial"/>
        <family val="2"/>
      </rPr>
      <t>DPPO UZ 099</t>
    </r>
  </si>
  <si>
    <r>
      <t>investiční akce +</t>
    </r>
    <r>
      <rPr>
        <sz val="9"/>
        <rFont val="Arial"/>
        <family val="2"/>
      </rPr>
      <t xml:space="preserve"> DPPO UZ 099</t>
    </r>
  </si>
  <si>
    <t>podzemní kontejnery</t>
  </si>
  <si>
    <r>
      <t xml:space="preserve">  ZŠ objekty</t>
    </r>
    <r>
      <rPr>
        <sz val="7"/>
        <rFont val="Arial"/>
        <family val="2"/>
      </rPr>
      <t xml:space="preserve"> údržba výnos z loterií 4Q 2013+1.+</t>
    </r>
    <r>
      <rPr>
        <sz val="7"/>
        <color indexed="12"/>
        <rFont val="Arial"/>
        <family val="2"/>
      </rPr>
      <t>2.</t>
    </r>
    <r>
      <rPr>
        <sz val="7"/>
        <rFont val="Arial"/>
        <family val="2"/>
      </rPr>
      <t>Q 2014</t>
    </r>
  </si>
  <si>
    <r>
      <t xml:space="preserve">  4319 nezisk.org </t>
    </r>
    <r>
      <rPr>
        <sz val="8"/>
        <rFont val="Arial"/>
        <family val="2"/>
      </rPr>
      <t>výnos z loterií</t>
    </r>
    <r>
      <rPr>
        <sz val="7"/>
        <rFont val="Arial"/>
        <family val="2"/>
      </rPr>
      <t xml:space="preserve"> 4Q 2013+1.</t>
    </r>
    <r>
      <rPr>
        <sz val="7"/>
        <color indexed="12"/>
        <rFont val="Arial"/>
        <family val="2"/>
      </rPr>
      <t>+2.</t>
    </r>
    <r>
      <rPr>
        <sz val="7"/>
        <rFont val="Arial"/>
        <family val="2"/>
      </rPr>
      <t>Q 2014</t>
    </r>
  </si>
  <si>
    <r>
      <t xml:space="preserve">  4321 sport.hřiště </t>
    </r>
    <r>
      <rPr>
        <sz val="8"/>
        <rFont val="Arial"/>
        <family val="2"/>
      </rPr>
      <t>výnos z loterií</t>
    </r>
    <r>
      <rPr>
        <sz val="7"/>
        <rFont val="Arial"/>
        <family val="2"/>
      </rPr>
      <t xml:space="preserve"> 4Q 2013+1.</t>
    </r>
    <r>
      <rPr>
        <sz val="7"/>
        <color indexed="12"/>
        <rFont val="Arial"/>
        <family val="2"/>
      </rPr>
      <t>+2.</t>
    </r>
    <r>
      <rPr>
        <sz val="7"/>
        <rFont val="Arial"/>
        <family val="2"/>
      </rPr>
      <t>Q 2014</t>
    </r>
  </si>
  <si>
    <r>
      <t xml:space="preserve"> 4379 péče o seniory </t>
    </r>
    <r>
      <rPr>
        <sz val="8"/>
        <rFont val="Arial"/>
        <family val="0"/>
      </rPr>
      <t>výnos z loterií</t>
    </r>
    <r>
      <rPr>
        <sz val="7"/>
        <rFont val="Arial"/>
        <family val="0"/>
      </rPr>
      <t xml:space="preserve"> 4Q 2013</t>
    </r>
    <r>
      <rPr>
        <sz val="7"/>
        <color indexed="12"/>
        <rFont val="Arial"/>
        <family val="2"/>
      </rPr>
      <t>+2.Q 2014</t>
    </r>
  </si>
  <si>
    <t>Europa Cinemas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</si>
</sst>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26">
    <font>
      <sz val="10"/>
      <name val="Arial"/>
      <family val="0"/>
    </font>
    <font>
      <b/>
      <sz val="10"/>
      <name val="Arial"/>
      <family val="2"/>
    </font>
    <font>
      <b/>
      <sz val="7"/>
      <name val="Arial"/>
      <family val="2"/>
    </font>
    <font>
      <sz val="7"/>
      <name val="Arial"/>
      <family val="0"/>
    </font>
    <font>
      <sz val="9"/>
      <color indexed="12"/>
      <name val="Arial"/>
      <family val="0"/>
    </font>
    <font>
      <sz val="8"/>
      <color indexed="12"/>
      <name val="Arial"/>
      <family val="0"/>
    </font>
    <font>
      <sz val="7"/>
      <name val="Arial CE"/>
      <family val="0"/>
    </font>
    <font>
      <sz val="9"/>
      <name val="Arial"/>
      <family val="0"/>
    </font>
    <font>
      <b/>
      <sz val="9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i/>
      <sz val="10"/>
      <name val="Arial"/>
      <family val="2"/>
    </font>
    <font>
      <sz val="10"/>
      <name val="Arial CE"/>
      <family val="0"/>
    </font>
    <font>
      <sz val="8"/>
      <name val="Arial CE"/>
      <family val="0"/>
    </font>
    <font>
      <i/>
      <sz val="10"/>
      <name val="Arial CE"/>
      <family val="0"/>
    </font>
    <font>
      <sz val="10"/>
      <color indexed="12"/>
      <name val="Arial"/>
      <family val="0"/>
    </font>
    <font>
      <b/>
      <sz val="7"/>
      <color indexed="12"/>
      <name val="Arial"/>
      <family val="2"/>
    </font>
    <font>
      <sz val="7"/>
      <color indexed="12"/>
      <name val="Arial"/>
      <family val="0"/>
    </font>
    <font>
      <sz val="7"/>
      <color indexed="12"/>
      <name val="Arial CE"/>
      <family val="0"/>
    </font>
    <font>
      <sz val="9"/>
      <name val="Arial CE"/>
      <family val="0"/>
    </font>
    <font>
      <b/>
      <sz val="10"/>
      <color indexed="12"/>
      <name val="Arial"/>
      <family val="0"/>
    </font>
    <font>
      <i/>
      <sz val="10"/>
      <color indexed="12"/>
      <name val="Arial"/>
      <family val="2"/>
    </font>
    <font>
      <b/>
      <sz val="12"/>
      <name val="Arial"/>
      <family val="2"/>
    </font>
    <font>
      <i/>
      <sz val="9"/>
      <name val="Arial CE"/>
      <family val="2"/>
    </font>
    <font>
      <sz val="9"/>
      <color indexed="12"/>
      <name val="Arial CE"/>
      <family val="0"/>
    </font>
    <font>
      <sz val="10"/>
      <color indexed="10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medium"/>
      <right style="thin"/>
      <top style="thick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 style="thick"/>
      <bottom style="thin"/>
    </border>
    <border>
      <left style="medium"/>
      <right style="thick"/>
      <top style="thin"/>
      <bottom style="thin"/>
    </border>
    <border>
      <left style="medium"/>
      <right style="thick"/>
      <top style="thin"/>
      <bottom style="thick"/>
    </border>
    <border>
      <left>
        <color indexed="63"/>
      </left>
      <right style="medium"/>
      <top style="thick"/>
      <bottom style="thin"/>
    </border>
    <border>
      <left>
        <color indexed="63"/>
      </left>
      <right style="medium"/>
      <top style="thin"/>
      <bottom style="thick"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medium"/>
      <right style="medium"/>
      <top style="thick"/>
      <bottom style="thin"/>
    </border>
    <border>
      <left>
        <color indexed="63"/>
      </left>
      <right style="thin"/>
      <top style="thick"/>
      <bottom style="thin"/>
    </border>
    <border>
      <left style="medium"/>
      <right style="thick"/>
      <top style="thick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ck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1">
    <xf numFmtId="0" fontId="0" fillId="0" borderId="0" xfId="0" applyAlignment="1">
      <alignment/>
    </xf>
    <xf numFmtId="164" fontId="1" fillId="2" borderId="1" xfId="0" applyNumberFormat="1" applyFont="1" applyFill="1" applyBorder="1" applyAlignment="1">
      <alignment/>
    </xf>
    <xf numFmtId="164" fontId="1" fillId="3" borderId="2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7" fillId="0" borderId="3" xfId="0" applyFont="1" applyFill="1" applyBorder="1" applyAlignment="1">
      <alignment wrapText="1"/>
    </xf>
    <xf numFmtId="0" fontId="7" fillId="0" borderId="4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wrapText="1"/>
    </xf>
    <xf numFmtId="0" fontId="4" fillId="0" borderId="4" xfId="0" applyFont="1" applyFill="1" applyBorder="1" applyAlignment="1">
      <alignment wrapText="1"/>
    </xf>
    <xf numFmtId="0" fontId="8" fillId="2" borderId="4" xfId="0" applyFont="1" applyFill="1" applyBorder="1" applyAlignment="1">
      <alignment wrapText="1"/>
    </xf>
    <xf numFmtId="0" fontId="9" fillId="0" borderId="4" xfId="0" applyFont="1" applyFill="1" applyBorder="1" applyAlignment="1">
      <alignment wrapText="1"/>
    </xf>
    <xf numFmtId="0" fontId="8" fillId="3" borderId="5" xfId="0" applyFont="1" applyFill="1" applyBorder="1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3" fillId="0" borderId="6" xfId="0" applyFont="1" applyFill="1" applyBorder="1" applyAlignment="1">
      <alignment/>
    </xf>
    <xf numFmtId="0" fontId="3" fillId="0" borderId="7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/>
    </xf>
    <xf numFmtId="4" fontId="9" fillId="0" borderId="0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Border="1" applyAlignment="1">
      <alignment/>
    </xf>
    <xf numFmtId="0" fontId="7" fillId="0" borderId="1" xfId="0" applyNumberFormat="1" applyFont="1" applyFill="1" applyBorder="1" applyAlignment="1">
      <alignment horizontal="center" wrapText="1"/>
    </xf>
    <xf numFmtId="0" fontId="9" fillId="0" borderId="1" xfId="0" applyNumberFormat="1" applyFont="1" applyFill="1" applyBorder="1" applyAlignment="1">
      <alignment horizontal="center" wrapText="1"/>
    </xf>
    <xf numFmtId="164" fontId="0" fillId="0" borderId="1" xfId="0" applyNumberFormat="1" applyFont="1" applyFill="1" applyBorder="1" applyAlignment="1">
      <alignment/>
    </xf>
    <xf numFmtId="0" fontId="3" fillId="0" borderId="7" xfId="0" applyFont="1" applyFill="1" applyBorder="1" applyAlignment="1">
      <alignment/>
    </xf>
    <xf numFmtId="164" fontId="11" fillId="0" borderId="8" xfId="0" applyNumberFormat="1" applyFont="1" applyFill="1" applyBorder="1" applyAlignment="1">
      <alignment/>
    </xf>
    <xf numFmtId="164" fontId="0" fillId="0" borderId="1" xfId="0" applyNumberFormat="1" applyFont="1" applyFill="1" applyBorder="1" applyAlignment="1">
      <alignment/>
    </xf>
    <xf numFmtId="164" fontId="0" fillId="0" borderId="8" xfId="0" applyNumberFormat="1" applyFont="1" applyFill="1" applyBorder="1" applyAlignment="1">
      <alignment/>
    </xf>
    <xf numFmtId="164" fontId="1" fillId="2" borderId="8" xfId="0" applyNumberFormat="1" applyFont="1" applyFill="1" applyBorder="1" applyAlignment="1">
      <alignment/>
    </xf>
    <xf numFmtId="164" fontId="0" fillId="0" borderId="1" xfId="0" applyNumberFormat="1" applyFont="1" applyFill="1" applyBorder="1" applyAlignment="1">
      <alignment/>
    </xf>
    <xf numFmtId="164" fontId="0" fillId="0" borderId="1" xfId="0" applyNumberFormat="1" applyFont="1" applyFill="1" applyBorder="1" applyAlignment="1">
      <alignment/>
    </xf>
    <xf numFmtId="0" fontId="3" fillId="0" borderId="7" xfId="0" applyNumberFormat="1" applyFont="1" applyFill="1" applyBorder="1" applyAlignment="1">
      <alignment/>
    </xf>
    <xf numFmtId="3" fontId="3" fillId="0" borderId="7" xfId="0" applyNumberFormat="1" applyFont="1" applyFill="1" applyBorder="1" applyAlignment="1">
      <alignment/>
    </xf>
    <xf numFmtId="0" fontId="12" fillId="0" borderId="1" xfId="0" applyNumberFormat="1" applyFont="1" applyFill="1" applyBorder="1" applyAlignment="1">
      <alignment/>
    </xf>
    <xf numFmtId="164" fontId="0" fillId="0" borderId="1" xfId="0" applyNumberFormat="1" applyFont="1" applyFill="1" applyBorder="1" applyAlignment="1">
      <alignment/>
    </xf>
    <xf numFmtId="3" fontId="3" fillId="0" borderId="7" xfId="0" applyNumberFormat="1" applyFont="1" applyFill="1" applyBorder="1" applyAlignment="1">
      <alignment horizontal="center"/>
    </xf>
    <xf numFmtId="164" fontId="12" fillId="0" borderId="8" xfId="0" applyNumberFormat="1" applyFont="1" applyFill="1" applyBorder="1" applyAlignment="1">
      <alignment/>
    </xf>
    <xf numFmtId="3" fontId="9" fillId="0" borderId="7" xfId="0" applyNumberFormat="1" applyFont="1" applyFill="1" applyBorder="1" applyAlignment="1">
      <alignment horizontal="center"/>
    </xf>
    <xf numFmtId="0" fontId="9" fillId="0" borderId="7" xfId="0" applyFont="1" applyFill="1" applyBorder="1" applyAlignment="1">
      <alignment/>
    </xf>
    <xf numFmtId="3" fontId="13" fillId="0" borderId="7" xfId="0" applyNumberFormat="1" applyFont="1" applyFill="1" applyBorder="1" applyAlignment="1">
      <alignment/>
    </xf>
    <xf numFmtId="164" fontId="0" fillId="0" borderId="8" xfId="0" applyNumberFormat="1" applyFont="1" applyFill="1" applyBorder="1" applyAlignment="1">
      <alignment/>
    </xf>
    <xf numFmtId="164" fontId="0" fillId="0" borderId="1" xfId="0" applyNumberFormat="1" applyFont="1" applyFill="1" applyBorder="1" applyAlignment="1">
      <alignment/>
    </xf>
    <xf numFmtId="0" fontId="1" fillId="2" borderId="1" xfId="0" applyNumberFormat="1" applyFont="1" applyFill="1" applyBorder="1" applyAlignment="1">
      <alignment/>
    </xf>
    <xf numFmtId="0" fontId="9" fillId="0" borderId="7" xfId="0" applyNumberFormat="1" applyFont="1" applyFill="1" applyBorder="1" applyAlignment="1">
      <alignment/>
    </xf>
    <xf numFmtId="164" fontId="11" fillId="0" borderId="1" xfId="0" applyNumberFormat="1" applyFont="1" applyBorder="1" applyAlignment="1">
      <alignment/>
    </xf>
    <xf numFmtId="3" fontId="9" fillId="0" borderId="7" xfId="0" applyNumberFormat="1" applyFont="1" applyFill="1" applyBorder="1" applyAlignment="1">
      <alignment/>
    </xf>
    <xf numFmtId="164" fontId="12" fillId="0" borderId="1" xfId="0" applyNumberFormat="1" applyFont="1" applyFill="1" applyBorder="1" applyAlignment="1">
      <alignment/>
    </xf>
    <xf numFmtId="164" fontId="14" fillId="0" borderId="8" xfId="0" applyNumberFormat="1" applyFont="1" applyFill="1" applyBorder="1" applyAlignment="1">
      <alignment/>
    </xf>
    <xf numFmtId="164" fontId="0" fillId="0" borderId="1" xfId="0" applyNumberFormat="1" applyFont="1" applyFill="1" applyBorder="1" applyAlignment="1">
      <alignment/>
    </xf>
    <xf numFmtId="3" fontId="6" fillId="0" borderId="7" xfId="0" applyNumberFormat="1" applyFont="1" applyFill="1" applyBorder="1" applyAlignment="1">
      <alignment/>
    </xf>
    <xf numFmtId="3" fontId="13" fillId="0" borderId="7" xfId="0" applyNumberFormat="1" applyFont="1" applyFill="1" applyBorder="1" applyAlignment="1">
      <alignment wrapText="1"/>
    </xf>
    <xf numFmtId="164" fontId="12" fillId="0" borderId="1" xfId="0" applyNumberFormat="1" applyFont="1" applyFill="1" applyBorder="1" applyAlignment="1">
      <alignment wrapText="1"/>
    </xf>
    <xf numFmtId="3" fontId="9" fillId="0" borderId="7" xfId="0" applyNumberFormat="1" applyFont="1" applyFill="1" applyBorder="1" applyAlignment="1">
      <alignment horizontal="center"/>
    </xf>
    <xf numFmtId="164" fontId="12" fillId="0" borderId="8" xfId="0" applyNumberFormat="1" applyFont="1" applyFill="1" applyBorder="1" applyAlignment="1">
      <alignment wrapText="1"/>
    </xf>
    <xf numFmtId="164" fontId="0" fillId="0" borderId="8" xfId="0" applyNumberFormat="1" applyFont="1" applyFill="1" applyBorder="1" applyAlignment="1">
      <alignment/>
    </xf>
    <xf numFmtId="164" fontId="2" fillId="3" borderId="9" xfId="0" applyNumberFormat="1" applyFont="1" applyFill="1" applyBorder="1" applyAlignment="1">
      <alignment/>
    </xf>
    <xf numFmtId="164" fontId="1" fillId="3" borderId="10" xfId="0" applyNumberFormat="1" applyFont="1" applyFill="1" applyBorder="1" applyAlignment="1">
      <alignment/>
    </xf>
    <xf numFmtId="164" fontId="1" fillId="0" borderId="0" xfId="0" applyNumberFormat="1" applyFont="1" applyFill="1" applyAlignment="1">
      <alignment/>
    </xf>
    <xf numFmtId="0" fontId="0" fillId="0" borderId="0" xfId="0" applyNumberFormat="1" applyFont="1" applyFill="1" applyBorder="1" applyAlignment="1">
      <alignment/>
    </xf>
    <xf numFmtId="4" fontId="9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64" fontId="0" fillId="0" borderId="0" xfId="0" applyNumberFormat="1" applyFont="1" applyAlignment="1">
      <alignment/>
    </xf>
    <xf numFmtId="164" fontId="1" fillId="3" borderId="11" xfId="0" applyNumberFormat="1" applyFont="1" applyFill="1" applyBorder="1" applyAlignment="1">
      <alignment/>
    </xf>
    <xf numFmtId="164" fontId="1" fillId="3" borderId="12" xfId="0" applyNumberFormat="1" applyFont="1" applyFill="1" applyBorder="1" applyAlignment="1">
      <alignment/>
    </xf>
    <xf numFmtId="0" fontId="7" fillId="0" borderId="7" xfId="0" applyFont="1" applyFill="1" applyBorder="1" applyAlignment="1">
      <alignment/>
    </xf>
    <xf numFmtId="164" fontId="13" fillId="0" borderId="7" xfId="0" applyNumberFormat="1" applyFont="1" applyFill="1" applyBorder="1" applyAlignment="1">
      <alignment wrapText="1"/>
    </xf>
    <xf numFmtId="164" fontId="8" fillId="3" borderId="13" xfId="0" applyNumberFormat="1" applyFont="1" applyFill="1" applyBorder="1" applyAlignment="1">
      <alignment wrapText="1"/>
    </xf>
    <xf numFmtId="164" fontId="1" fillId="2" borderId="1" xfId="0" applyNumberFormat="1" applyFont="1" applyFill="1" applyBorder="1" applyAlignment="1">
      <alignment/>
    </xf>
    <xf numFmtId="164" fontId="1" fillId="2" borderId="1" xfId="0" applyNumberFormat="1" applyFont="1" applyFill="1" applyBorder="1" applyAlignment="1">
      <alignment/>
    </xf>
    <xf numFmtId="164" fontId="0" fillId="0" borderId="1" xfId="0" applyNumberFormat="1" applyFont="1" applyFill="1" applyBorder="1" applyAlignment="1">
      <alignment/>
    </xf>
    <xf numFmtId="164" fontId="0" fillId="0" borderId="1" xfId="0" applyNumberFormat="1" applyFont="1" applyFill="1" applyBorder="1" applyAlignment="1">
      <alignment/>
    </xf>
    <xf numFmtId="164" fontId="0" fillId="0" borderId="1" xfId="0" applyNumberFormat="1" applyFont="1" applyFill="1" applyBorder="1" applyAlignment="1">
      <alignment/>
    </xf>
    <xf numFmtId="164" fontId="1" fillId="3" borderId="2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164" fontId="0" fillId="0" borderId="1" xfId="0" applyNumberFormat="1" applyFont="1" applyFill="1" applyBorder="1" applyAlignment="1">
      <alignment/>
    </xf>
    <xf numFmtId="164" fontId="0" fillId="0" borderId="1" xfId="0" applyNumberFormat="1" applyFont="1" applyFill="1" applyBorder="1" applyAlignment="1">
      <alignment/>
    </xf>
    <xf numFmtId="164" fontId="0" fillId="0" borderId="1" xfId="0" applyNumberFormat="1" applyFont="1" applyFill="1" applyBorder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Font="1" applyAlignment="1">
      <alignment/>
    </xf>
    <xf numFmtId="164" fontId="7" fillId="0" borderId="1" xfId="0" applyNumberFormat="1" applyFont="1" applyFill="1" applyBorder="1" applyAlignment="1">
      <alignment horizontal="center" wrapText="1"/>
    </xf>
    <xf numFmtId="164" fontId="7" fillId="0" borderId="1" xfId="0" applyNumberFormat="1" applyFont="1" applyFill="1" applyBorder="1" applyAlignment="1">
      <alignment wrapText="1"/>
    </xf>
    <xf numFmtId="0" fontId="7" fillId="0" borderId="4" xfId="0" applyFont="1" applyFill="1" applyBorder="1" applyAlignment="1">
      <alignment horizontal="right" wrapText="1"/>
    </xf>
    <xf numFmtId="164" fontId="4" fillId="0" borderId="1" xfId="0" applyNumberFormat="1" applyFont="1" applyFill="1" applyBorder="1" applyAlignment="1">
      <alignment wrapText="1"/>
    </xf>
    <xf numFmtId="164" fontId="15" fillId="0" borderId="1" xfId="0" applyNumberFormat="1" applyFont="1" applyFill="1" applyBorder="1" applyAlignment="1">
      <alignment/>
    </xf>
    <xf numFmtId="164" fontId="7" fillId="0" borderId="14" xfId="0" applyNumberFormat="1" applyFont="1" applyFill="1" applyBorder="1" applyAlignment="1">
      <alignment wrapText="1"/>
    </xf>
    <xf numFmtId="0" fontId="5" fillId="0" borderId="7" xfId="0" applyFont="1" applyFill="1" applyBorder="1" applyAlignment="1">
      <alignment/>
    </xf>
    <xf numFmtId="0" fontId="0" fillId="0" borderId="0" xfId="0" applyNumberFormat="1" applyFont="1" applyAlignment="1">
      <alignment/>
    </xf>
    <xf numFmtId="0" fontId="7" fillId="0" borderId="1" xfId="0" applyNumberFormat="1" applyFont="1" applyFill="1" applyBorder="1" applyAlignment="1">
      <alignment wrapText="1"/>
    </xf>
    <xf numFmtId="0" fontId="9" fillId="0" borderId="1" xfId="0" applyNumberFormat="1" applyFont="1" applyFill="1" applyBorder="1" applyAlignment="1">
      <alignment wrapText="1"/>
    </xf>
    <xf numFmtId="0" fontId="1" fillId="2" borderId="1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0" fillId="0" borderId="1" xfId="0" applyNumberFormat="1" applyFont="1" applyFill="1" applyBorder="1" applyAlignment="1">
      <alignment/>
    </xf>
    <xf numFmtId="0" fontId="1" fillId="2" borderId="1" xfId="0" applyNumberFormat="1" applyFont="1" applyFill="1" applyBorder="1" applyAlignment="1">
      <alignment/>
    </xf>
    <xf numFmtId="0" fontId="0" fillId="0" borderId="1" xfId="0" applyNumberFormat="1" applyFont="1" applyFill="1" applyBorder="1" applyAlignment="1">
      <alignment/>
    </xf>
    <xf numFmtId="0" fontId="1" fillId="3" borderId="2" xfId="0" applyNumberFormat="1" applyFont="1" applyFill="1" applyBorder="1" applyAlignment="1">
      <alignment/>
    </xf>
    <xf numFmtId="0" fontId="9" fillId="0" borderId="15" xfId="0" applyNumberFormat="1" applyFont="1" applyFill="1" applyBorder="1" applyAlignment="1">
      <alignment horizontal="center" wrapText="1"/>
    </xf>
    <xf numFmtId="0" fontId="9" fillId="0" borderId="1" xfId="0" applyNumberFormat="1" applyFont="1" applyFill="1" applyBorder="1" applyAlignment="1">
      <alignment wrapText="1"/>
    </xf>
    <xf numFmtId="0" fontId="9" fillId="0" borderId="1" xfId="0" applyNumberFormat="1" applyFont="1" applyFill="1" applyBorder="1" applyAlignment="1">
      <alignment horizontal="center" wrapText="1"/>
    </xf>
    <xf numFmtId="0" fontId="7" fillId="0" borderId="16" xfId="0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7" fillId="0" borderId="16" xfId="0" applyFont="1" applyFill="1" applyBorder="1" applyAlignment="1">
      <alignment/>
    </xf>
    <xf numFmtId="164" fontId="7" fillId="0" borderId="17" xfId="0" applyNumberFormat="1" applyFont="1" applyFill="1" applyBorder="1" applyAlignment="1">
      <alignment wrapText="1"/>
    </xf>
    <xf numFmtId="0" fontId="15" fillId="0" borderId="0" xfId="0" applyFont="1" applyAlignment="1">
      <alignment/>
    </xf>
    <xf numFmtId="164" fontId="9" fillId="0" borderId="0" xfId="0" applyNumberFormat="1" applyFont="1" applyBorder="1" applyAlignment="1">
      <alignment/>
    </xf>
    <xf numFmtId="164" fontId="20" fillId="3" borderId="11" xfId="0" applyNumberFormat="1" applyFont="1" applyFill="1" applyBorder="1" applyAlignment="1">
      <alignment/>
    </xf>
    <xf numFmtId="4" fontId="3" fillId="0" borderId="18" xfId="0" applyNumberFormat="1" applyFont="1" applyFill="1" applyBorder="1" applyAlignment="1">
      <alignment wrapText="1"/>
    </xf>
    <xf numFmtId="164" fontId="15" fillId="0" borderId="0" xfId="0" applyNumberFormat="1" applyFont="1" applyFill="1" applyBorder="1" applyAlignment="1">
      <alignment/>
    </xf>
    <xf numFmtId="164" fontId="11" fillId="0" borderId="1" xfId="0" applyNumberFormat="1" applyFont="1" applyFill="1" applyBorder="1" applyAlignment="1">
      <alignment/>
    </xf>
    <xf numFmtId="0" fontId="7" fillId="0" borderId="15" xfId="0" applyNumberFormat="1" applyFont="1" applyFill="1" applyBorder="1" applyAlignment="1">
      <alignment horizontal="center" wrapText="1"/>
    </xf>
    <xf numFmtId="164" fontId="0" fillId="0" borderId="15" xfId="0" applyNumberFormat="1" applyFont="1" applyFill="1" applyBorder="1" applyAlignment="1">
      <alignment/>
    </xf>
    <xf numFmtId="164" fontId="1" fillId="3" borderId="19" xfId="0" applyNumberFormat="1" applyFont="1" applyFill="1" applyBorder="1" applyAlignment="1">
      <alignment/>
    </xf>
    <xf numFmtId="164" fontId="20" fillId="3" borderId="12" xfId="0" applyNumberFormat="1" applyFont="1" applyFill="1" applyBorder="1" applyAlignment="1">
      <alignment/>
    </xf>
    <xf numFmtId="0" fontId="0" fillId="0" borderId="20" xfId="0" applyFont="1" applyBorder="1" applyAlignment="1">
      <alignment/>
    </xf>
    <xf numFmtId="164" fontId="0" fillId="0" borderId="15" xfId="0" applyNumberFormat="1" applyFont="1" applyFill="1" applyBorder="1" applyAlignment="1">
      <alignment/>
    </xf>
    <xf numFmtId="164" fontId="1" fillId="2" borderId="15" xfId="0" applyNumberFormat="1" applyFont="1" applyFill="1" applyBorder="1" applyAlignment="1">
      <alignment/>
    </xf>
    <xf numFmtId="164" fontId="0" fillId="0" borderId="15" xfId="0" applyNumberFormat="1" applyFont="1" applyFill="1" applyBorder="1" applyAlignment="1">
      <alignment/>
    </xf>
    <xf numFmtId="0" fontId="7" fillId="0" borderId="21" xfId="0" applyNumberFormat="1" applyFont="1" applyFill="1" applyBorder="1" applyAlignment="1">
      <alignment horizontal="center" wrapText="1"/>
    </xf>
    <xf numFmtId="164" fontId="0" fillId="0" borderId="21" xfId="0" applyNumberFormat="1" applyFont="1" applyFill="1" applyBorder="1" applyAlignment="1">
      <alignment/>
    </xf>
    <xf numFmtId="164" fontId="0" fillId="0" borderId="21" xfId="0" applyNumberFormat="1" applyFont="1" applyFill="1" applyBorder="1" applyAlignment="1">
      <alignment/>
    </xf>
    <xf numFmtId="164" fontId="20" fillId="2" borderId="21" xfId="0" applyNumberFormat="1" applyFont="1" applyFill="1" applyBorder="1" applyAlignment="1">
      <alignment/>
    </xf>
    <xf numFmtId="0" fontId="20" fillId="2" borderId="21" xfId="0" applyNumberFormat="1" applyFont="1" applyFill="1" applyBorder="1" applyAlignment="1">
      <alignment/>
    </xf>
    <xf numFmtId="164" fontId="15" fillId="0" borderId="21" xfId="0" applyNumberFormat="1" applyFont="1" applyFill="1" applyBorder="1" applyAlignment="1">
      <alignment/>
    </xf>
    <xf numFmtId="164" fontId="0" fillId="0" borderId="21" xfId="0" applyNumberFormat="1" applyFont="1" applyFill="1" applyBorder="1" applyAlignment="1">
      <alignment/>
    </xf>
    <xf numFmtId="164" fontId="20" fillId="3" borderId="22" xfId="0" applyNumberFormat="1" applyFont="1" applyFill="1" applyBorder="1" applyAlignment="1">
      <alignment/>
    </xf>
    <xf numFmtId="0" fontId="1" fillId="2" borderId="15" xfId="0" applyNumberFormat="1" applyFont="1" applyFill="1" applyBorder="1" applyAlignment="1">
      <alignment/>
    </xf>
    <xf numFmtId="164" fontId="15" fillId="0" borderId="15" xfId="0" applyNumberFormat="1" applyFont="1" applyFill="1" applyBorder="1" applyAlignment="1">
      <alignment/>
    </xf>
    <xf numFmtId="4" fontId="10" fillId="0" borderId="23" xfId="0" applyNumberFormat="1" applyFont="1" applyFill="1" applyBorder="1" applyAlignment="1">
      <alignment horizontal="center"/>
    </xf>
    <xf numFmtId="4" fontId="9" fillId="0" borderId="18" xfId="0" applyNumberFormat="1" applyFont="1" applyFill="1" applyBorder="1" applyAlignment="1">
      <alignment horizontal="center" wrapText="1"/>
    </xf>
    <xf numFmtId="4" fontId="9" fillId="0" borderId="8" xfId="0" applyNumberFormat="1" applyFont="1" applyFill="1" applyBorder="1" applyAlignment="1">
      <alignment/>
    </xf>
    <xf numFmtId="0" fontId="3" fillId="0" borderId="8" xfId="0" applyFont="1" applyBorder="1" applyAlignment="1">
      <alignment wrapText="1"/>
    </xf>
    <xf numFmtId="0" fontId="17" fillId="0" borderId="8" xfId="0" applyFont="1" applyBorder="1" applyAlignment="1">
      <alignment wrapText="1"/>
    </xf>
    <xf numFmtId="164" fontId="2" fillId="0" borderId="8" xfId="0" applyNumberFormat="1" applyFont="1" applyFill="1" applyBorder="1" applyAlignment="1">
      <alignment wrapText="1"/>
    </xf>
    <xf numFmtId="0" fontId="6" fillId="0" borderId="8" xfId="0" applyNumberFormat="1" applyFont="1" applyFill="1" applyBorder="1" applyAlignment="1">
      <alignment wrapText="1"/>
    </xf>
    <xf numFmtId="0" fontId="18" fillId="0" borderId="8" xfId="0" applyNumberFormat="1" applyFont="1" applyFill="1" applyBorder="1" applyAlignment="1">
      <alignment wrapText="1"/>
    </xf>
    <xf numFmtId="164" fontId="3" fillId="0" borderId="8" xfId="0" applyNumberFormat="1" applyFont="1" applyFill="1" applyBorder="1" applyAlignment="1">
      <alignment wrapText="1"/>
    </xf>
    <xf numFmtId="164" fontId="17" fillId="0" borderId="8" xfId="0" applyNumberFormat="1" applyFont="1" applyFill="1" applyBorder="1" applyAlignment="1">
      <alignment wrapText="1"/>
    </xf>
    <xf numFmtId="0" fontId="6" fillId="0" borderId="18" xfId="0" applyNumberFormat="1" applyFont="1" applyFill="1" applyBorder="1" applyAlignment="1">
      <alignment wrapText="1"/>
    </xf>
    <xf numFmtId="0" fontId="3" fillId="0" borderId="8" xfId="0" applyNumberFormat="1" applyFont="1" applyFill="1" applyBorder="1" applyAlignment="1">
      <alignment wrapText="1"/>
    </xf>
    <xf numFmtId="164" fontId="16" fillId="0" borderId="8" xfId="0" applyNumberFormat="1" applyFont="1" applyFill="1" applyBorder="1" applyAlignment="1">
      <alignment wrapText="1"/>
    </xf>
    <xf numFmtId="164" fontId="6" fillId="0" borderId="8" xfId="0" applyNumberFormat="1" applyFont="1" applyFill="1" applyBorder="1" applyAlignment="1">
      <alignment wrapText="1"/>
    </xf>
    <xf numFmtId="164" fontId="19" fillId="0" borderId="8" xfId="0" applyNumberFormat="1" applyFont="1" applyFill="1" applyBorder="1" applyAlignment="1">
      <alignment wrapText="1"/>
    </xf>
    <xf numFmtId="3" fontId="13" fillId="0" borderId="8" xfId="0" applyNumberFormat="1" applyFont="1" applyFill="1" applyBorder="1" applyAlignment="1">
      <alignment/>
    </xf>
    <xf numFmtId="164" fontId="2" fillId="0" borderId="24" xfId="0" applyNumberFormat="1" applyFont="1" applyFill="1" applyBorder="1" applyAlignment="1">
      <alignment wrapText="1"/>
    </xf>
    <xf numFmtId="0" fontId="7" fillId="0" borderId="25" xfId="0" applyNumberFormat="1" applyFont="1" applyFill="1" applyBorder="1" applyAlignment="1">
      <alignment horizontal="center" wrapText="1"/>
    </xf>
    <xf numFmtId="164" fontId="0" fillId="0" borderId="25" xfId="0" applyNumberFormat="1" applyFont="1" applyFill="1" applyBorder="1" applyAlignment="1">
      <alignment/>
    </xf>
    <xf numFmtId="164" fontId="0" fillId="0" borderId="25" xfId="0" applyNumberFormat="1" applyFont="1" applyFill="1" applyBorder="1" applyAlignment="1">
      <alignment/>
    </xf>
    <xf numFmtId="164" fontId="20" fillId="2" borderId="25" xfId="0" applyNumberFormat="1" applyFont="1" applyFill="1" applyBorder="1" applyAlignment="1">
      <alignment/>
    </xf>
    <xf numFmtId="0" fontId="20" fillId="2" borderId="25" xfId="0" applyNumberFormat="1" applyFont="1" applyFill="1" applyBorder="1" applyAlignment="1">
      <alignment/>
    </xf>
    <xf numFmtId="164" fontId="15" fillId="0" borderId="25" xfId="0" applyNumberFormat="1" applyFont="1" applyFill="1" applyBorder="1" applyAlignment="1">
      <alignment/>
    </xf>
    <xf numFmtId="164" fontId="0" fillId="0" borderId="25" xfId="0" applyNumberFormat="1" applyFont="1" applyFill="1" applyBorder="1" applyAlignment="1">
      <alignment/>
    </xf>
    <xf numFmtId="164" fontId="20" fillId="3" borderId="26" xfId="0" applyNumberFormat="1" applyFont="1" applyFill="1" applyBorder="1" applyAlignment="1">
      <alignment/>
    </xf>
    <xf numFmtId="0" fontId="0" fillId="0" borderId="23" xfId="0" applyFont="1" applyBorder="1" applyAlignment="1">
      <alignment/>
    </xf>
    <xf numFmtId="164" fontId="21" fillId="0" borderId="21" xfId="0" applyNumberFormat="1" applyFont="1" applyFill="1" applyBorder="1" applyAlignment="1">
      <alignment/>
    </xf>
    <xf numFmtId="164" fontId="15" fillId="0" borderId="21" xfId="0" applyNumberFormat="1" applyFont="1" applyFill="1" applyBorder="1" applyAlignment="1">
      <alignment/>
    </xf>
    <xf numFmtId="4" fontId="17" fillId="0" borderId="8" xfId="0" applyNumberFormat="1" applyFont="1" applyFill="1" applyBorder="1" applyAlignment="1">
      <alignment/>
    </xf>
    <xf numFmtId="0" fontId="4" fillId="0" borderId="25" xfId="0" applyNumberFormat="1" applyFont="1" applyFill="1" applyBorder="1" applyAlignment="1">
      <alignment horizontal="center" wrapText="1"/>
    </xf>
    <xf numFmtId="0" fontId="4" fillId="0" borderId="21" xfId="0" applyNumberFormat="1" applyFont="1" applyFill="1" applyBorder="1" applyAlignment="1">
      <alignment horizontal="center" wrapText="1"/>
    </xf>
    <xf numFmtId="0" fontId="7" fillId="0" borderId="1" xfId="0" applyNumberFormat="1" applyFont="1" applyFill="1" applyBorder="1" applyAlignment="1">
      <alignment wrapText="1"/>
    </xf>
    <xf numFmtId="164" fontId="11" fillId="0" borderId="1" xfId="0" applyNumberFormat="1" applyFont="1" applyFill="1" applyBorder="1" applyAlignment="1">
      <alignment/>
    </xf>
    <xf numFmtId="0" fontId="22" fillId="0" borderId="0" xfId="0" applyFont="1" applyAlignment="1">
      <alignment/>
    </xf>
    <xf numFmtId="164" fontId="0" fillId="0" borderId="1" xfId="0" applyNumberFormat="1" applyFont="1" applyFill="1" applyBorder="1" applyAlignment="1">
      <alignment wrapText="1"/>
    </xf>
    <xf numFmtId="164" fontId="0" fillId="0" borderId="15" xfId="0" applyNumberFormat="1" applyFont="1" applyFill="1" applyBorder="1" applyAlignment="1">
      <alignment/>
    </xf>
    <xf numFmtId="164" fontId="0" fillId="0" borderId="1" xfId="0" applyNumberFormat="1" applyFont="1" applyFill="1" applyBorder="1" applyAlignment="1">
      <alignment wrapText="1"/>
    </xf>
    <xf numFmtId="3" fontId="9" fillId="0" borderId="7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0" fontId="9" fillId="0" borderId="4" xfId="0" applyFont="1" applyFill="1" applyBorder="1" applyAlignment="1">
      <alignment wrapText="1"/>
    </xf>
    <xf numFmtId="0" fontId="7" fillId="0" borderId="4" xfId="0" applyFont="1" applyFill="1" applyBorder="1" applyAlignment="1">
      <alignment wrapText="1"/>
    </xf>
    <xf numFmtId="164" fontId="1" fillId="4" borderId="0" xfId="0" applyNumberFormat="1" applyFont="1" applyFill="1" applyBorder="1" applyAlignment="1">
      <alignment/>
    </xf>
    <xf numFmtId="164" fontId="8" fillId="4" borderId="13" xfId="0" applyNumberFormat="1" applyFont="1" applyFill="1" applyBorder="1" applyAlignment="1">
      <alignment wrapText="1"/>
    </xf>
    <xf numFmtId="164" fontId="1" fillId="4" borderId="11" xfId="0" applyNumberFormat="1" applyFont="1" applyFill="1" applyBorder="1" applyAlignment="1">
      <alignment/>
    </xf>
    <xf numFmtId="164" fontId="20" fillId="4" borderId="11" xfId="0" applyNumberFormat="1" applyFont="1" applyFill="1" applyBorder="1" applyAlignment="1">
      <alignment/>
    </xf>
    <xf numFmtId="164" fontId="1" fillId="4" borderId="12" xfId="0" applyNumberFormat="1" applyFont="1" applyFill="1" applyBorder="1" applyAlignment="1">
      <alignment/>
    </xf>
    <xf numFmtId="164" fontId="20" fillId="4" borderId="12" xfId="0" applyNumberFormat="1" applyFont="1" applyFill="1" applyBorder="1" applyAlignment="1">
      <alignment/>
    </xf>
    <xf numFmtId="164" fontId="0" fillId="0" borderId="27" xfId="0" applyNumberFormat="1" applyFont="1" applyFill="1" applyBorder="1" applyAlignment="1">
      <alignment/>
    </xf>
    <xf numFmtId="164" fontId="7" fillId="0" borderId="27" xfId="0" applyNumberFormat="1" applyFont="1" applyFill="1" applyBorder="1" applyAlignment="1">
      <alignment wrapText="1"/>
    </xf>
    <xf numFmtId="0" fontId="9" fillId="0" borderId="27" xfId="0" applyNumberFormat="1" applyFont="1" applyFill="1" applyBorder="1" applyAlignment="1">
      <alignment wrapText="1"/>
    </xf>
    <xf numFmtId="164" fontId="0" fillId="0" borderId="27" xfId="0" applyNumberFormat="1" applyFont="1" applyFill="1" applyBorder="1" applyAlignment="1">
      <alignment/>
    </xf>
    <xf numFmtId="164" fontId="0" fillId="0" borderId="28" xfId="0" applyNumberFormat="1" applyFont="1" applyFill="1" applyBorder="1" applyAlignment="1">
      <alignment/>
    </xf>
    <xf numFmtId="164" fontId="15" fillId="0" borderId="29" xfId="0" applyNumberFormat="1" applyFont="1" applyFill="1" applyBorder="1" applyAlignment="1">
      <alignment/>
    </xf>
    <xf numFmtId="4" fontId="17" fillId="0" borderId="30" xfId="0" applyNumberFormat="1" applyFont="1" applyFill="1" applyBorder="1" applyAlignment="1">
      <alignment/>
    </xf>
    <xf numFmtId="0" fontId="7" fillId="0" borderId="6" xfId="0" applyFont="1" applyFill="1" applyBorder="1" applyAlignment="1">
      <alignment/>
    </xf>
    <xf numFmtId="164" fontId="0" fillId="0" borderId="30" xfId="0" applyNumberFormat="1" applyFont="1" applyFill="1" applyBorder="1" applyAlignment="1">
      <alignment/>
    </xf>
    <xf numFmtId="164" fontId="0" fillId="0" borderId="31" xfId="0" applyNumberFormat="1" applyFont="1" applyFill="1" applyBorder="1" applyAlignment="1">
      <alignment/>
    </xf>
    <xf numFmtId="164" fontId="15" fillId="3" borderId="21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0" fillId="0" borderId="1" xfId="0" applyNumberFormat="1" applyFont="1" applyFill="1" applyBorder="1" applyAlignment="1">
      <alignment/>
    </xf>
    <xf numFmtId="164" fontId="1" fillId="3" borderId="2" xfId="0" applyNumberFormat="1" applyFont="1" applyFill="1" applyBorder="1" applyAlignment="1">
      <alignment/>
    </xf>
    <xf numFmtId="0" fontId="0" fillId="0" borderId="0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164" fontId="0" fillId="0" borderId="27" xfId="0" applyNumberFormat="1" applyFont="1" applyFill="1" applyBorder="1" applyAlignment="1">
      <alignment wrapText="1"/>
    </xf>
    <xf numFmtId="164" fontId="23" fillId="0" borderId="7" xfId="0" applyNumberFormat="1" applyFont="1" applyFill="1" applyBorder="1" applyAlignment="1">
      <alignment wrapText="1"/>
    </xf>
    <xf numFmtId="164" fontId="0" fillId="0" borderId="8" xfId="0" applyNumberFormat="1" applyFont="1" applyFill="1" applyBorder="1" applyAlignment="1">
      <alignment/>
    </xf>
    <xf numFmtId="164" fontId="1" fillId="3" borderId="11" xfId="0" applyNumberFormat="1" applyFont="1" applyFill="1" applyBorder="1" applyAlignment="1">
      <alignment/>
    </xf>
    <xf numFmtId="164" fontId="1" fillId="4" borderId="11" xfId="0" applyNumberFormat="1" applyFont="1" applyFill="1" applyBorder="1" applyAlignment="1">
      <alignment/>
    </xf>
    <xf numFmtId="164" fontId="9" fillId="0" borderId="1" xfId="0" applyNumberFormat="1" applyFont="1" applyFill="1" applyBorder="1" applyAlignment="1">
      <alignment wrapText="1"/>
    </xf>
    <xf numFmtId="164" fontId="4" fillId="0" borderId="1" xfId="0" applyNumberFormat="1" applyFont="1" applyFill="1" applyBorder="1" applyAlignment="1">
      <alignment wrapText="1"/>
    </xf>
    <xf numFmtId="164" fontId="0" fillId="0" borderId="32" xfId="0" applyNumberFormat="1" applyFont="1" applyFill="1" applyBorder="1" applyAlignment="1">
      <alignment/>
    </xf>
    <xf numFmtId="164" fontId="15" fillId="0" borderId="33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3" fontId="24" fillId="0" borderId="7" xfId="0" applyNumberFormat="1" applyFont="1" applyFill="1" applyBorder="1" applyAlignment="1">
      <alignment/>
    </xf>
    <xf numFmtId="0" fontId="0" fillId="0" borderId="21" xfId="0" applyNumberFormat="1" applyFont="1" applyBorder="1" applyAlignment="1">
      <alignment/>
    </xf>
    <xf numFmtId="0" fontId="15" fillId="0" borderId="0" xfId="0" applyNumberFormat="1" applyFont="1" applyAlignment="1">
      <alignment/>
    </xf>
    <xf numFmtId="0" fontId="5" fillId="0" borderId="15" xfId="0" applyNumberFormat="1" applyFont="1" applyFill="1" applyBorder="1" applyAlignment="1">
      <alignment horizontal="center" wrapText="1"/>
    </xf>
    <xf numFmtId="0" fontId="5" fillId="0" borderId="1" xfId="0" applyNumberFormat="1" applyFont="1" applyFill="1" applyBorder="1" applyAlignment="1">
      <alignment horizontal="center" wrapText="1"/>
    </xf>
    <xf numFmtId="164" fontId="20" fillId="2" borderId="1" xfId="0" applyNumberFormat="1" applyFont="1" applyFill="1" applyBorder="1" applyAlignment="1">
      <alignment/>
    </xf>
    <xf numFmtId="164" fontId="21" fillId="0" borderId="1" xfId="0" applyNumberFormat="1" applyFont="1" applyBorder="1" applyAlignment="1">
      <alignment/>
    </xf>
    <xf numFmtId="164" fontId="15" fillId="0" borderId="1" xfId="0" applyNumberFormat="1" applyFont="1" applyFill="1" applyBorder="1" applyAlignment="1">
      <alignment/>
    </xf>
    <xf numFmtId="164" fontId="20" fillId="3" borderId="2" xfId="0" applyNumberFormat="1" applyFont="1" applyFill="1" applyBorder="1" applyAlignment="1">
      <alignment/>
    </xf>
    <xf numFmtId="164" fontId="20" fillId="0" borderId="0" xfId="0" applyNumberFormat="1" applyFont="1" applyFill="1" applyAlignment="1">
      <alignment/>
    </xf>
    <xf numFmtId="0" fontId="4" fillId="0" borderId="0" xfId="0" applyFont="1" applyAlignment="1">
      <alignment wrapText="1"/>
    </xf>
    <xf numFmtId="164" fontId="15" fillId="0" borderId="27" xfId="0" applyNumberFormat="1" applyFont="1" applyFill="1" applyBorder="1" applyAlignment="1">
      <alignment/>
    </xf>
    <xf numFmtId="164" fontId="20" fillId="4" borderId="0" xfId="0" applyNumberFormat="1" applyFont="1" applyFill="1" applyBorder="1" applyAlignment="1">
      <alignment/>
    </xf>
    <xf numFmtId="164" fontId="15" fillId="5" borderId="1" xfId="0" applyNumberFormat="1" applyFont="1" applyFill="1" applyBorder="1" applyAlignment="1">
      <alignment/>
    </xf>
    <xf numFmtId="164" fontId="15" fillId="0" borderId="0" xfId="0" applyNumberFormat="1" applyFont="1" applyAlignment="1">
      <alignment/>
    </xf>
    <xf numFmtId="164" fontId="1" fillId="3" borderId="9" xfId="0" applyNumberFormat="1" applyFont="1" applyFill="1" applyBorder="1" applyAlignment="1">
      <alignment/>
    </xf>
    <xf numFmtId="164" fontId="25" fillId="3" borderId="21" xfId="0" applyNumberFormat="1" applyFont="1" applyFill="1" applyBorder="1" applyAlignment="1">
      <alignment/>
    </xf>
    <xf numFmtId="164" fontId="25" fillId="0" borderId="21" xfId="0" applyNumberFormat="1" applyFont="1" applyFill="1" applyBorder="1" applyAlignment="1">
      <alignment/>
    </xf>
    <xf numFmtId="0" fontId="1" fillId="0" borderId="28" xfId="0" applyNumberFormat="1" applyFont="1" applyFill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4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129"/>
  <sheetViews>
    <sheetView tabSelected="1" zoomScale="80" zoomScaleNormal="80" workbookViewId="0" topLeftCell="A1">
      <pane xSplit="1" ySplit="4" topLeftCell="I10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113" sqref="S113"/>
    </sheetView>
  </sheetViews>
  <sheetFormatPr defaultColWidth="9.140625" defaultRowHeight="12.75"/>
  <cols>
    <col min="1" max="1" width="40.7109375" style="11" customWidth="1"/>
    <col min="2" max="2" width="8.7109375" style="19" customWidth="1"/>
    <col min="3" max="3" width="8.7109375" style="77" customWidth="1"/>
    <col min="4" max="4" width="6.00390625" style="85" customWidth="1"/>
    <col min="5" max="5" width="8.421875" style="77" customWidth="1"/>
    <col min="6" max="6" width="8.421875" style="18" customWidth="1"/>
    <col min="7" max="7" width="8.421875" style="202" customWidth="1"/>
    <col min="8" max="8" width="9.8515625" style="19" bestFit="1" customWidth="1"/>
    <col min="9" max="9" width="8.7109375" style="19" customWidth="1"/>
    <col min="10" max="10" width="9.7109375" style="17" customWidth="1"/>
    <col min="11" max="11" width="22.7109375" style="3" customWidth="1"/>
    <col min="12" max="12" width="8.7109375" style="18" customWidth="1"/>
    <col min="13" max="13" width="8.7109375" style="77" customWidth="1"/>
    <col min="14" max="14" width="6.00390625" style="85" customWidth="1"/>
    <col min="15" max="15" width="6.7109375" style="163" customWidth="1"/>
    <col min="16" max="16" width="8.421875" style="18" customWidth="1"/>
    <col min="17" max="17" width="8.421875" style="202" customWidth="1"/>
    <col min="18" max="18" width="9.8515625" style="19" bestFit="1" customWidth="1"/>
    <col min="19" max="19" width="8.7109375" style="19" customWidth="1"/>
  </cols>
  <sheetData>
    <row r="1" ht="13.5" thickBot="1"/>
    <row r="2" spans="1:19" ht="13.5" thickTop="1">
      <c r="A2" s="4"/>
      <c r="B2" s="218" t="s">
        <v>0</v>
      </c>
      <c r="C2" s="220"/>
      <c r="D2" s="220"/>
      <c r="E2" s="220"/>
      <c r="F2" s="220"/>
      <c r="G2" s="220"/>
      <c r="H2" s="220"/>
      <c r="I2" s="150"/>
      <c r="J2" s="125"/>
      <c r="K2" s="14"/>
      <c r="L2" s="218" t="s">
        <v>1</v>
      </c>
      <c r="M2" s="219"/>
      <c r="N2" s="219"/>
      <c r="O2" s="219"/>
      <c r="P2" s="219"/>
      <c r="Q2" s="219"/>
      <c r="R2" s="219"/>
      <c r="S2" s="111"/>
    </row>
    <row r="3" spans="1:19" s="76" customFormat="1" ht="36">
      <c r="A3" s="5"/>
      <c r="B3" s="20" t="s">
        <v>70</v>
      </c>
      <c r="C3" s="78" t="s">
        <v>2</v>
      </c>
      <c r="D3" s="96" t="s">
        <v>73</v>
      </c>
      <c r="E3" s="94" t="s">
        <v>86</v>
      </c>
      <c r="F3" s="94" t="s">
        <v>103</v>
      </c>
      <c r="G3" s="203" t="s">
        <v>133</v>
      </c>
      <c r="H3" s="107" t="s">
        <v>62</v>
      </c>
      <c r="I3" s="154" t="s">
        <v>116</v>
      </c>
      <c r="J3" s="126"/>
      <c r="K3" s="15"/>
      <c r="L3" s="20" t="s">
        <v>70</v>
      </c>
      <c r="M3" s="78" t="s">
        <v>2</v>
      </c>
      <c r="N3" s="96" t="s">
        <v>73</v>
      </c>
      <c r="O3" s="94" t="s">
        <v>86</v>
      </c>
      <c r="P3" s="94" t="s">
        <v>103</v>
      </c>
      <c r="Q3" s="203" t="s">
        <v>133</v>
      </c>
      <c r="R3" s="107" t="s">
        <v>62</v>
      </c>
      <c r="S3" s="155" t="s">
        <v>116</v>
      </c>
    </row>
    <row r="4" spans="1:19" ht="12.75" hidden="1">
      <c r="A4" s="5"/>
      <c r="B4" s="20"/>
      <c r="C4" s="79"/>
      <c r="D4" s="86"/>
      <c r="E4" s="161"/>
      <c r="F4" s="21"/>
      <c r="G4" s="204"/>
      <c r="H4" s="107"/>
      <c r="I4" s="142"/>
      <c r="J4" s="126"/>
      <c r="K4" s="15"/>
      <c r="L4" s="20"/>
      <c r="M4" s="79"/>
      <c r="N4" s="86"/>
      <c r="O4" s="161"/>
      <c r="P4" s="21"/>
      <c r="Q4" s="204"/>
      <c r="R4" s="107"/>
      <c r="S4" s="115"/>
    </row>
    <row r="5" spans="1:19" ht="12.75">
      <c r="A5" s="6" t="s">
        <v>11</v>
      </c>
      <c r="B5" s="22">
        <f>3000</f>
        <v>3000</v>
      </c>
      <c r="C5" s="79"/>
      <c r="D5" s="87"/>
      <c r="E5" s="159"/>
      <c r="F5" s="106">
        <v>-3000</v>
      </c>
      <c r="G5" s="82"/>
      <c r="H5" s="108">
        <f>SUM(B5:G5)</f>
        <v>0</v>
      </c>
      <c r="I5" s="143"/>
      <c r="J5" s="104"/>
      <c r="K5" s="23"/>
      <c r="L5" s="24">
        <f>160*0+2012/2012*200*0+2013/2013*(903/903*2343/2343*-250*0+103/103*2119/2119*250)</f>
        <v>250</v>
      </c>
      <c r="M5" s="79"/>
      <c r="N5" s="87"/>
      <c r="O5" s="159"/>
      <c r="P5" s="25"/>
      <c r="Q5" s="82"/>
      <c r="R5" s="108">
        <f>SUM(L5:Q5)</f>
        <v>250</v>
      </c>
      <c r="S5" s="151">
        <v>250</v>
      </c>
    </row>
    <row r="6" spans="1:19" ht="12.75" hidden="1">
      <c r="A6" s="6" t="s">
        <v>12</v>
      </c>
      <c r="B6" s="22"/>
      <c r="C6" s="68"/>
      <c r="D6" s="90"/>
      <c r="E6" s="68"/>
      <c r="F6" s="22"/>
      <c r="G6" s="82"/>
      <c r="H6" s="112"/>
      <c r="I6" s="144"/>
      <c r="J6" s="127"/>
      <c r="K6" s="23"/>
      <c r="L6" s="26"/>
      <c r="M6" s="68"/>
      <c r="N6" s="68"/>
      <c r="O6" s="68"/>
      <c r="P6" s="22"/>
      <c r="Q6" s="82"/>
      <c r="R6" s="112"/>
      <c r="S6" s="117"/>
    </row>
    <row r="7" spans="1:19" ht="12.75">
      <c r="A7" s="8" t="s">
        <v>57</v>
      </c>
      <c r="B7" s="1">
        <f aca="true" t="shared" si="0" ref="B7:I7">SUM(B5:B6)</f>
        <v>3000</v>
      </c>
      <c r="C7" s="66">
        <f t="shared" si="0"/>
        <v>0</v>
      </c>
      <c r="D7" s="88">
        <f t="shared" si="0"/>
        <v>0</v>
      </c>
      <c r="E7" s="66">
        <f t="shared" si="0"/>
        <v>0</v>
      </c>
      <c r="F7" s="1">
        <f t="shared" si="0"/>
        <v>-3000</v>
      </c>
      <c r="G7" s="205">
        <f t="shared" si="0"/>
        <v>0</v>
      </c>
      <c r="H7" s="113">
        <f t="shared" si="0"/>
        <v>0</v>
      </c>
      <c r="I7" s="145">
        <f t="shared" si="0"/>
        <v>0</v>
      </c>
      <c r="J7" s="127"/>
      <c r="K7" s="23"/>
      <c r="L7" s="27">
        <f aca="true" t="shared" si="1" ref="L7:S7">SUM(L5:L6)</f>
        <v>250</v>
      </c>
      <c r="M7" s="67">
        <f t="shared" si="1"/>
        <v>0</v>
      </c>
      <c r="N7" s="67">
        <f t="shared" si="1"/>
        <v>0</v>
      </c>
      <c r="O7" s="66">
        <f t="shared" si="1"/>
        <v>0</v>
      </c>
      <c r="P7" s="1">
        <f t="shared" si="1"/>
        <v>0</v>
      </c>
      <c r="Q7" s="205">
        <f t="shared" si="1"/>
        <v>0</v>
      </c>
      <c r="R7" s="113">
        <f t="shared" si="1"/>
        <v>250</v>
      </c>
      <c r="S7" s="118">
        <f t="shared" si="1"/>
        <v>250</v>
      </c>
    </row>
    <row r="8" spans="1:19" ht="12.75">
      <c r="A8" s="6" t="s">
        <v>13</v>
      </c>
      <c r="B8" s="22">
        <f>100</f>
        <v>100</v>
      </c>
      <c r="C8" s="79"/>
      <c r="D8" s="87"/>
      <c r="E8" s="159"/>
      <c r="F8" s="25"/>
      <c r="G8" s="82"/>
      <c r="H8" s="108">
        <f aca="true" t="shared" si="2" ref="H8:H13">SUM(B8:G8)</f>
        <v>100</v>
      </c>
      <c r="I8" s="147">
        <v>100</v>
      </c>
      <c r="J8" s="127"/>
      <c r="K8" s="23"/>
      <c r="L8" s="26"/>
      <c r="M8" s="70"/>
      <c r="N8" s="70"/>
      <c r="O8" s="75"/>
      <c r="P8" s="29"/>
      <c r="Q8" s="82"/>
      <c r="R8" s="108">
        <f aca="true" t="shared" si="3" ref="R8:R13">SUM(L8:Q8)</f>
        <v>0</v>
      </c>
      <c r="S8" s="116"/>
    </row>
    <row r="9" spans="1:19" ht="12.75">
      <c r="A9" s="6" t="s">
        <v>41</v>
      </c>
      <c r="B9" s="22">
        <v>150</v>
      </c>
      <c r="C9" s="79"/>
      <c r="D9" s="87"/>
      <c r="E9" s="159"/>
      <c r="F9" s="25">
        <f>14-100+3722/3722*5</f>
        <v>-81</v>
      </c>
      <c r="G9" s="207">
        <f>192.3</f>
        <v>192.3</v>
      </c>
      <c r="H9" s="108">
        <f t="shared" si="2"/>
        <v>261.3</v>
      </c>
      <c r="I9" s="147">
        <f>2321/2321*(70+30)</f>
        <v>100</v>
      </c>
      <c r="J9" s="127"/>
      <c r="K9" s="63"/>
      <c r="L9" s="26"/>
      <c r="M9" s="70"/>
      <c r="N9" s="70"/>
      <c r="O9" s="75"/>
      <c r="P9" s="29"/>
      <c r="Q9" s="82"/>
      <c r="R9" s="108">
        <f t="shared" si="3"/>
        <v>0</v>
      </c>
      <c r="S9" s="116"/>
    </row>
    <row r="10" spans="1:19" ht="12.75">
      <c r="A10" s="6" t="s">
        <v>117</v>
      </c>
      <c r="B10" s="22"/>
      <c r="C10" s="79"/>
      <c r="D10" s="156">
        <f>6/6*66.6</f>
        <v>66.6</v>
      </c>
      <c r="E10" s="157">
        <f>18.4</f>
        <v>18.4</v>
      </c>
      <c r="F10" s="25">
        <v>543</v>
      </c>
      <c r="G10" s="207">
        <v>603.7</v>
      </c>
      <c r="H10" s="108">
        <f t="shared" si="2"/>
        <v>1231.7</v>
      </c>
      <c r="I10" s="147">
        <f>20+600</f>
        <v>620</v>
      </c>
      <c r="J10" s="153" t="s">
        <v>107</v>
      </c>
      <c r="K10" s="63"/>
      <c r="L10" s="26"/>
      <c r="M10" s="79"/>
      <c r="N10" s="87"/>
      <c r="O10" s="159"/>
      <c r="P10" s="25"/>
      <c r="Q10" s="82"/>
      <c r="R10" s="108">
        <f t="shared" si="3"/>
        <v>0</v>
      </c>
      <c r="S10" s="116"/>
    </row>
    <row r="11" spans="1:19" s="101" customFormat="1" ht="12.75">
      <c r="A11" s="6" t="s">
        <v>102</v>
      </c>
      <c r="B11" s="22"/>
      <c r="C11" s="79"/>
      <c r="D11" s="95"/>
      <c r="E11" s="161">
        <v>24.2</v>
      </c>
      <c r="F11" s="106">
        <v>218.4</v>
      </c>
      <c r="G11" s="213">
        <f>-112.6+772</f>
        <v>659.4</v>
      </c>
      <c r="H11" s="108">
        <f t="shared" si="2"/>
        <v>902</v>
      </c>
      <c r="I11" s="147">
        <v>900</v>
      </c>
      <c r="J11" s="153" t="s">
        <v>108</v>
      </c>
      <c r="K11" s="23"/>
      <c r="L11" s="26"/>
      <c r="M11" s="68"/>
      <c r="N11" s="68"/>
      <c r="O11" s="68"/>
      <c r="P11" s="22"/>
      <c r="Q11" s="82"/>
      <c r="R11" s="108">
        <f t="shared" si="3"/>
        <v>0</v>
      </c>
      <c r="S11" s="116"/>
    </row>
    <row r="12" spans="1:19" ht="12.75" hidden="1">
      <c r="A12" s="6" t="s">
        <v>12</v>
      </c>
      <c r="B12" s="22"/>
      <c r="C12" s="79"/>
      <c r="D12" s="87"/>
      <c r="E12" s="159"/>
      <c r="F12" s="25"/>
      <c r="G12" s="207"/>
      <c r="H12" s="108">
        <f t="shared" si="2"/>
        <v>0</v>
      </c>
      <c r="I12" s="143"/>
      <c r="J12" s="127"/>
      <c r="K12" s="23"/>
      <c r="L12" s="26"/>
      <c r="M12" s="70"/>
      <c r="N12" s="70"/>
      <c r="O12" s="75"/>
      <c r="P12" s="29"/>
      <c r="Q12" s="82"/>
      <c r="R12" s="108">
        <f t="shared" si="3"/>
        <v>0</v>
      </c>
      <c r="S12" s="116"/>
    </row>
    <row r="13" spans="1:19" ht="12.75">
      <c r="A13" s="6" t="s">
        <v>14</v>
      </c>
      <c r="B13" s="22">
        <v>200</v>
      </c>
      <c r="C13" s="79"/>
      <c r="D13" s="87"/>
      <c r="E13" s="159"/>
      <c r="F13" s="106">
        <f>20-100</f>
        <v>-80</v>
      </c>
      <c r="G13" s="207">
        <v>298</v>
      </c>
      <c r="H13" s="108">
        <f t="shared" si="2"/>
        <v>418</v>
      </c>
      <c r="I13" s="147">
        <v>100</v>
      </c>
      <c r="J13" s="127"/>
      <c r="K13" s="23"/>
      <c r="L13" s="26"/>
      <c r="M13" s="70"/>
      <c r="N13" s="70"/>
      <c r="O13" s="75"/>
      <c r="P13" s="29"/>
      <c r="Q13" s="82"/>
      <c r="R13" s="108">
        <f t="shared" si="3"/>
        <v>0</v>
      </c>
      <c r="S13" s="116"/>
    </row>
    <row r="14" spans="1:19" ht="12.75">
      <c r="A14" s="8" t="s">
        <v>58</v>
      </c>
      <c r="B14" s="1">
        <f aca="true" t="shared" si="4" ref="B14:I14">SUM(B8:B13)</f>
        <v>450</v>
      </c>
      <c r="C14" s="67">
        <f t="shared" si="4"/>
        <v>0</v>
      </c>
      <c r="D14" s="88">
        <f t="shared" si="4"/>
        <v>66.6</v>
      </c>
      <c r="E14" s="66">
        <f t="shared" si="4"/>
        <v>42.599999999999994</v>
      </c>
      <c r="F14" s="1">
        <f t="shared" si="4"/>
        <v>600.4</v>
      </c>
      <c r="G14" s="205">
        <f t="shared" si="4"/>
        <v>1753.4</v>
      </c>
      <c r="H14" s="113">
        <f t="shared" si="4"/>
        <v>2913</v>
      </c>
      <c r="I14" s="145">
        <f t="shared" si="4"/>
        <v>1820</v>
      </c>
      <c r="J14" s="127"/>
      <c r="K14" s="30"/>
      <c r="L14" s="27">
        <f aca="true" t="shared" si="5" ref="L14:S14">SUM(L8:L13)</f>
        <v>0</v>
      </c>
      <c r="M14" s="67">
        <f t="shared" si="5"/>
        <v>0</v>
      </c>
      <c r="N14" s="67">
        <f t="shared" si="5"/>
        <v>0</v>
      </c>
      <c r="O14" s="66">
        <f t="shared" si="5"/>
        <v>0</v>
      </c>
      <c r="P14" s="1">
        <f t="shared" si="5"/>
        <v>0</v>
      </c>
      <c r="Q14" s="205">
        <f t="shared" si="5"/>
        <v>0</v>
      </c>
      <c r="R14" s="113">
        <f t="shared" si="5"/>
        <v>0</v>
      </c>
      <c r="S14" s="118">
        <f t="shared" si="5"/>
        <v>0</v>
      </c>
    </row>
    <row r="15" spans="1:19" ht="12.75">
      <c r="A15" s="6" t="s">
        <v>15</v>
      </c>
      <c r="B15" s="22">
        <v>600</v>
      </c>
      <c r="C15" s="79"/>
      <c r="D15" s="87"/>
      <c r="E15" s="159">
        <f>100-46.3</f>
        <v>53.7</v>
      </c>
      <c r="F15" s="25">
        <f>-171.6+480.4</f>
        <v>308.79999999999995</v>
      </c>
      <c r="G15" s="207">
        <f>322.3</f>
        <v>322.3</v>
      </c>
      <c r="H15" s="108">
        <f>SUM(B15:G15)</f>
        <v>1284.8</v>
      </c>
      <c r="I15" s="147">
        <f>50+800+500</f>
        <v>1350</v>
      </c>
      <c r="J15" s="153" t="s">
        <v>109</v>
      </c>
      <c r="K15" s="31"/>
      <c r="L15" s="26"/>
      <c r="M15" s="70"/>
      <c r="N15" s="70"/>
      <c r="O15" s="75"/>
      <c r="P15" s="29">
        <v>13.3</v>
      </c>
      <c r="Q15" s="82"/>
      <c r="R15" s="108">
        <f>SUM(L15:Q15)</f>
        <v>13.3</v>
      </c>
      <c r="S15" s="116"/>
    </row>
    <row r="16" spans="1:19" s="101" customFormat="1" ht="12.75">
      <c r="A16" s="165" t="s">
        <v>96</v>
      </c>
      <c r="B16" s="22"/>
      <c r="C16" s="79"/>
      <c r="D16" s="95"/>
      <c r="E16" s="161">
        <f>(330.8+46.3)-263*0</f>
        <v>377.1</v>
      </c>
      <c r="F16" s="22"/>
      <c r="G16" s="213">
        <f>172.7+67.7</f>
        <v>240.39999999999998</v>
      </c>
      <c r="H16" s="108">
        <f>SUM(B16:G16)</f>
        <v>617.5</v>
      </c>
      <c r="I16" s="147">
        <f>30+164+400</f>
        <v>594</v>
      </c>
      <c r="J16" s="153" t="s">
        <v>110</v>
      </c>
      <c r="K16" s="37"/>
      <c r="L16" s="26"/>
      <c r="M16" s="79"/>
      <c r="N16" s="95"/>
      <c r="O16" s="161"/>
      <c r="P16" s="22"/>
      <c r="Q16" s="82"/>
      <c r="R16" s="108"/>
      <c r="S16" s="116"/>
    </row>
    <row r="17" spans="1:19" s="101" customFormat="1" ht="12.75">
      <c r="A17" s="165" t="s">
        <v>97</v>
      </c>
      <c r="B17" s="22"/>
      <c r="C17" s="79"/>
      <c r="D17" s="95"/>
      <c r="E17" s="161"/>
      <c r="F17" s="22"/>
      <c r="G17" s="213">
        <f>-1358.3*0+301.4+65.5</f>
        <v>366.9</v>
      </c>
      <c r="H17" s="108">
        <f>SUM(B17:G17)</f>
        <v>366.9</v>
      </c>
      <c r="I17" s="147"/>
      <c r="J17" s="153"/>
      <c r="K17" s="37"/>
      <c r="L17" s="26"/>
      <c r="M17" s="79"/>
      <c r="N17" s="95"/>
      <c r="O17" s="161"/>
      <c r="P17" s="22"/>
      <c r="Q17" s="82"/>
      <c r="R17" s="108"/>
      <c r="S17" s="116"/>
    </row>
    <row r="18" spans="1:19" ht="12.75">
      <c r="A18" s="6" t="s">
        <v>134</v>
      </c>
      <c r="B18" s="22">
        <v>950</v>
      </c>
      <c r="C18" s="79">
        <v>25</v>
      </c>
      <c r="D18" s="87">
        <f>4/4*54</f>
        <v>54</v>
      </c>
      <c r="E18" s="159">
        <f>423.8*0+(828.2)</f>
        <v>828.2</v>
      </c>
      <c r="F18" s="25">
        <f>7-136+81.4+52.8-218.4+2.1</f>
        <v>-211.1</v>
      </c>
      <c r="G18" s="207">
        <f>2299-751-G17-G16-1358.3*0</f>
        <v>940.6999999999999</v>
      </c>
      <c r="H18" s="108">
        <f>SUM(B18:G18)</f>
        <v>2586.8</v>
      </c>
      <c r="I18" s="143"/>
      <c r="J18" s="128"/>
      <c r="K18" s="23"/>
      <c r="L18" s="26"/>
      <c r="M18" s="70"/>
      <c r="N18" s="70"/>
      <c r="O18" s="75"/>
      <c r="P18" s="29"/>
      <c r="Q18" s="82"/>
      <c r="R18" s="108">
        <f>SUM(L18:Q18)</f>
        <v>0</v>
      </c>
      <c r="S18" s="116"/>
    </row>
    <row r="19" spans="1:19" ht="12.75">
      <c r="A19" s="8" t="s">
        <v>59</v>
      </c>
      <c r="B19" s="1">
        <f aca="true" t="shared" si="6" ref="B19:I19">SUM(B15:B18)</f>
        <v>1550</v>
      </c>
      <c r="C19" s="66">
        <f t="shared" si="6"/>
        <v>25</v>
      </c>
      <c r="D19" s="91">
        <f t="shared" si="6"/>
        <v>54</v>
      </c>
      <c r="E19" s="66">
        <f t="shared" si="6"/>
        <v>1259</v>
      </c>
      <c r="F19" s="1">
        <f t="shared" si="6"/>
        <v>97.69999999999996</v>
      </c>
      <c r="G19" s="205">
        <f t="shared" si="6"/>
        <v>1870.3</v>
      </c>
      <c r="H19" s="113">
        <f t="shared" si="6"/>
        <v>4856</v>
      </c>
      <c r="I19" s="145">
        <f t="shared" si="6"/>
        <v>1944</v>
      </c>
      <c r="J19" s="130"/>
      <c r="K19" s="30"/>
      <c r="L19" s="27">
        <f aca="true" t="shared" si="7" ref="L19:S19">SUM(L15:L18)</f>
        <v>0</v>
      </c>
      <c r="M19" s="67">
        <f t="shared" si="7"/>
        <v>0</v>
      </c>
      <c r="N19" s="67">
        <f t="shared" si="7"/>
        <v>0</v>
      </c>
      <c r="O19" s="66">
        <f t="shared" si="7"/>
        <v>0</v>
      </c>
      <c r="P19" s="1">
        <f t="shared" si="7"/>
        <v>13.3</v>
      </c>
      <c r="Q19" s="205">
        <f t="shared" si="7"/>
        <v>0</v>
      </c>
      <c r="R19" s="113">
        <f t="shared" si="7"/>
        <v>13.3</v>
      </c>
      <c r="S19" s="118">
        <f t="shared" si="7"/>
        <v>0</v>
      </c>
    </row>
    <row r="20" spans="1:19" ht="12.75">
      <c r="A20" s="6" t="s">
        <v>16</v>
      </c>
      <c r="B20" s="32">
        <v>1974</v>
      </c>
      <c r="C20" s="79"/>
      <c r="D20" s="87">
        <v>70</v>
      </c>
      <c r="E20" s="159"/>
      <c r="F20" s="25">
        <v>173.2</v>
      </c>
      <c r="G20" s="82"/>
      <c r="H20" s="108">
        <f aca="true" t="shared" si="8" ref="H20:H26">SUM(B20:G20)</f>
        <v>2217.2</v>
      </c>
      <c r="I20" s="147">
        <v>2073</v>
      </c>
      <c r="J20" s="131"/>
      <c r="K20" s="34"/>
      <c r="L20" s="35"/>
      <c r="M20" s="69"/>
      <c r="N20" s="69"/>
      <c r="O20" s="69"/>
      <c r="P20" s="33"/>
      <c r="Q20" s="82"/>
      <c r="R20" s="108">
        <f aca="true" t="shared" si="9" ref="R20:R26">SUM(L20:Q20)</f>
        <v>0</v>
      </c>
      <c r="S20" s="116"/>
    </row>
    <row r="21" spans="1:19" ht="12.75">
      <c r="A21" s="6" t="s">
        <v>17</v>
      </c>
      <c r="B21" s="32">
        <v>4675</v>
      </c>
      <c r="C21" s="83"/>
      <c r="D21" s="87">
        <f>4/4*19</f>
        <v>19</v>
      </c>
      <c r="E21" s="159">
        <f>6.5+776</f>
        <v>782.5</v>
      </c>
      <c r="F21" s="25">
        <f>76.1+15.3+140-550</f>
        <v>-318.6</v>
      </c>
      <c r="G21" s="207">
        <v>134.5</v>
      </c>
      <c r="H21" s="108">
        <f t="shared" si="8"/>
        <v>5292.4</v>
      </c>
      <c r="I21" s="147">
        <f>8+4909+200</f>
        <v>5117</v>
      </c>
      <c r="J21" s="153" t="s">
        <v>111</v>
      </c>
      <c r="K21" s="23"/>
      <c r="L21" s="26"/>
      <c r="M21" s="68"/>
      <c r="N21" s="68"/>
      <c r="O21" s="68"/>
      <c r="P21" s="22"/>
      <c r="Q21" s="82"/>
      <c r="R21" s="108">
        <f t="shared" si="9"/>
        <v>0</v>
      </c>
      <c r="S21" s="116"/>
    </row>
    <row r="22" spans="1:19" s="101" customFormat="1" ht="12.75">
      <c r="A22" s="164" t="s">
        <v>135</v>
      </c>
      <c r="B22" s="32"/>
      <c r="C22" s="79">
        <f>765+223</f>
        <v>988</v>
      </c>
      <c r="D22" s="95"/>
      <c r="E22" s="161"/>
      <c r="F22" s="22"/>
      <c r="G22" s="82"/>
      <c r="H22" s="108">
        <f t="shared" si="8"/>
        <v>988</v>
      </c>
      <c r="I22" s="143"/>
      <c r="J22" s="129"/>
      <c r="K22" s="37"/>
      <c r="L22" s="26"/>
      <c r="M22" s="79"/>
      <c r="N22" s="95"/>
      <c r="O22" s="161"/>
      <c r="P22" s="22"/>
      <c r="Q22" s="82"/>
      <c r="R22" s="108">
        <f t="shared" si="9"/>
        <v>0</v>
      </c>
      <c r="S22" s="116"/>
    </row>
    <row r="23" spans="1:19" ht="12.75">
      <c r="A23" s="6" t="s">
        <v>18</v>
      </c>
      <c r="B23" s="32">
        <v>1312</v>
      </c>
      <c r="C23" s="79"/>
      <c r="D23" s="87"/>
      <c r="E23" s="159">
        <v>52</v>
      </c>
      <c r="F23" s="25">
        <v>52.2</v>
      </c>
      <c r="G23" s="82"/>
      <c r="H23" s="108">
        <f t="shared" si="8"/>
        <v>1416.2</v>
      </c>
      <c r="I23" s="147">
        <v>1377.6</v>
      </c>
      <c r="J23" s="131"/>
      <c r="K23" s="38"/>
      <c r="L23" s="39"/>
      <c r="M23" s="73"/>
      <c r="N23" s="73"/>
      <c r="O23" s="73"/>
      <c r="P23" s="40"/>
      <c r="Q23" s="82"/>
      <c r="R23" s="108">
        <f t="shared" si="9"/>
        <v>0</v>
      </c>
      <c r="S23" s="116"/>
    </row>
    <row r="24" spans="1:19" s="101" customFormat="1" ht="12.75">
      <c r="A24" s="165" t="s">
        <v>136</v>
      </c>
      <c r="B24" s="184"/>
      <c r="C24" s="79">
        <v>262</v>
      </c>
      <c r="D24" s="87"/>
      <c r="E24" s="159"/>
      <c r="F24" s="25">
        <v>26</v>
      </c>
      <c r="G24" s="207">
        <v>95.4</v>
      </c>
      <c r="H24" s="108">
        <f t="shared" si="8"/>
        <v>383.4</v>
      </c>
      <c r="I24" s="143"/>
      <c r="J24" s="132"/>
      <c r="K24" s="37"/>
      <c r="L24" s="26"/>
      <c r="M24" s="68"/>
      <c r="N24" s="90"/>
      <c r="O24" s="68"/>
      <c r="P24" s="22"/>
      <c r="Q24" s="82"/>
      <c r="R24" s="108">
        <f t="shared" si="9"/>
        <v>0</v>
      </c>
      <c r="S24" s="116"/>
    </row>
    <row r="25" spans="1:19" ht="12.75">
      <c r="A25" s="6" t="s">
        <v>119</v>
      </c>
      <c r="B25" s="32"/>
      <c r="C25" s="79"/>
      <c r="D25" s="87"/>
      <c r="E25" s="159"/>
      <c r="F25" s="25"/>
      <c r="G25" s="82"/>
      <c r="H25" s="108">
        <f t="shared" si="8"/>
        <v>0</v>
      </c>
      <c r="I25" s="143"/>
      <c r="J25" s="131"/>
      <c r="K25" s="37"/>
      <c r="L25" s="26"/>
      <c r="M25" s="68"/>
      <c r="N25" s="90"/>
      <c r="O25" s="68"/>
      <c r="P25" s="22"/>
      <c r="Q25" s="82"/>
      <c r="R25" s="108">
        <f t="shared" si="9"/>
        <v>0</v>
      </c>
      <c r="S25" s="116"/>
    </row>
    <row r="26" spans="1:19" s="101" customFormat="1" ht="12.75">
      <c r="A26" s="6" t="s">
        <v>118</v>
      </c>
      <c r="B26" s="32"/>
      <c r="C26" s="79"/>
      <c r="D26" s="87"/>
      <c r="E26" s="159">
        <v>440.4</v>
      </c>
      <c r="F26" s="25"/>
      <c r="G26" s="207">
        <f>-100</f>
        <v>-100</v>
      </c>
      <c r="H26" s="108">
        <f t="shared" si="8"/>
        <v>340.4</v>
      </c>
      <c r="I26" s="143"/>
      <c r="J26" s="132"/>
      <c r="K26" s="37"/>
      <c r="L26" s="26"/>
      <c r="M26" s="68"/>
      <c r="N26" s="90"/>
      <c r="O26" s="68"/>
      <c r="P26" s="22"/>
      <c r="Q26" s="82"/>
      <c r="R26" s="108">
        <f t="shared" si="9"/>
        <v>0</v>
      </c>
      <c r="S26" s="116"/>
    </row>
    <row r="27" spans="1:19" ht="12.75">
      <c r="A27" s="8" t="s">
        <v>55</v>
      </c>
      <c r="B27" s="41">
        <f aca="true" t="shared" si="10" ref="B27:I27">SUM(B20:B26)</f>
        <v>7961</v>
      </c>
      <c r="C27" s="67">
        <f t="shared" si="10"/>
        <v>1250</v>
      </c>
      <c r="D27" s="88">
        <f t="shared" si="10"/>
        <v>89</v>
      </c>
      <c r="E27" s="66">
        <f t="shared" si="10"/>
        <v>1274.9</v>
      </c>
      <c r="F27" s="1">
        <f t="shared" si="10"/>
        <v>-67.20000000000003</v>
      </c>
      <c r="G27" s="205">
        <f t="shared" si="10"/>
        <v>129.9</v>
      </c>
      <c r="H27" s="123">
        <f t="shared" si="10"/>
        <v>10637.599999999999</v>
      </c>
      <c r="I27" s="146">
        <f t="shared" si="10"/>
        <v>8567.6</v>
      </c>
      <c r="J27" s="130"/>
      <c r="K27" s="42"/>
      <c r="L27" s="27">
        <f aca="true" t="shared" si="11" ref="L27:S27">SUM(L20:L26)</f>
        <v>0</v>
      </c>
      <c r="M27" s="67">
        <f t="shared" si="11"/>
        <v>0</v>
      </c>
      <c r="N27" s="88">
        <f t="shared" si="11"/>
        <v>0</v>
      </c>
      <c r="O27" s="66">
        <f t="shared" si="11"/>
        <v>0</v>
      </c>
      <c r="P27" s="1">
        <f t="shared" si="11"/>
        <v>0</v>
      </c>
      <c r="Q27" s="205">
        <f t="shared" si="11"/>
        <v>0</v>
      </c>
      <c r="R27" s="113">
        <f t="shared" si="11"/>
        <v>0</v>
      </c>
      <c r="S27" s="119">
        <f t="shared" si="11"/>
        <v>0</v>
      </c>
    </row>
    <row r="28" spans="1:19" ht="12.75">
      <c r="A28" s="6" t="s">
        <v>19</v>
      </c>
      <c r="B28" s="22">
        <f>100+260</f>
        <v>360</v>
      </c>
      <c r="C28" s="79"/>
      <c r="D28" s="87"/>
      <c r="E28" s="159"/>
      <c r="F28" s="43">
        <f>39/39*(-14-11)+51/51*(-3-5)+52/52*(-17-75)+54/54*(-12-4)+62/62*0+69/69*(8-5)+71/71*(-9+57)</f>
        <v>-90</v>
      </c>
      <c r="G28" s="82"/>
      <c r="H28" s="108">
        <f aca="true" t="shared" si="12" ref="H28:H36">SUM(B28:G28)</f>
        <v>270</v>
      </c>
      <c r="I28" s="147">
        <f>110+160</f>
        <v>270</v>
      </c>
      <c r="J28" s="133"/>
      <c r="K28" s="44"/>
      <c r="L28" s="26"/>
      <c r="M28" s="79"/>
      <c r="N28" s="87"/>
      <c r="O28" s="159"/>
      <c r="P28" s="43"/>
      <c r="Q28" s="206"/>
      <c r="R28" s="108">
        <f aca="true" t="shared" si="13" ref="R28:R36">SUM(L28:Q28)</f>
        <v>0</v>
      </c>
      <c r="S28" s="116"/>
    </row>
    <row r="29" spans="1:19" ht="12.75">
      <c r="A29" s="6" t="s">
        <v>20</v>
      </c>
      <c r="B29" s="45">
        <f>12*121*(12*20)/1000+1.52</f>
        <v>350</v>
      </c>
      <c r="C29" s="79"/>
      <c r="D29" s="87"/>
      <c r="E29" s="159"/>
      <c r="F29" s="25">
        <v>50</v>
      </c>
      <c r="G29" s="82"/>
      <c r="H29" s="108">
        <f t="shared" si="12"/>
        <v>400</v>
      </c>
      <c r="I29" s="147">
        <v>400</v>
      </c>
      <c r="J29" s="131"/>
      <c r="K29" s="38"/>
      <c r="L29" s="39"/>
      <c r="M29" s="79"/>
      <c r="N29" s="87"/>
      <c r="O29" s="159"/>
      <c r="P29" s="25"/>
      <c r="Q29" s="82"/>
      <c r="R29" s="108">
        <f t="shared" si="13"/>
        <v>0</v>
      </c>
      <c r="S29" s="116"/>
    </row>
    <row r="30" spans="1:19" ht="12.75">
      <c r="A30" s="6" t="s">
        <v>21</v>
      </c>
      <c r="B30" s="45">
        <f>3458-B28-B29</f>
        <v>2748</v>
      </c>
      <c r="C30" s="79"/>
      <c r="D30" s="87"/>
      <c r="E30" s="159"/>
      <c r="F30" s="25">
        <f>2+1.3-18.7+2.8+24-9-14-7+10+10+53+11+9+74-F28-F29</f>
        <v>188.4</v>
      </c>
      <c r="G30" s="207">
        <v>94.9</v>
      </c>
      <c r="H30" s="108">
        <f t="shared" si="12"/>
        <v>3031.3</v>
      </c>
      <c r="I30" s="147">
        <f>3756-I28-I29</f>
        <v>3086</v>
      </c>
      <c r="J30" s="131"/>
      <c r="K30" s="38"/>
      <c r="L30" s="46">
        <f>440*1.05+8-470+500</f>
        <v>500</v>
      </c>
      <c r="M30" s="79"/>
      <c r="N30" s="87"/>
      <c r="O30" s="159"/>
      <c r="P30" s="25">
        <v>45</v>
      </c>
      <c r="Q30" s="82"/>
      <c r="R30" s="108">
        <f t="shared" si="13"/>
        <v>545</v>
      </c>
      <c r="S30" s="151">
        <v>500</v>
      </c>
    </row>
    <row r="31" spans="1:19" ht="12.75" hidden="1">
      <c r="A31" s="6" t="s">
        <v>42</v>
      </c>
      <c r="B31" s="45"/>
      <c r="C31" s="79"/>
      <c r="D31" s="87"/>
      <c r="E31" s="159"/>
      <c r="F31" s="25"/>
      <c r="G31" s="82"/>
      <c r="H31" s="108">
        <f t="shared" si="12"/>
        <v>0</v>
      </c>
      <c r="I31" s="143"/>
      <c r="J31" s="131"/>
      <c r="K31" s="36" t="s">
        <v>47</v>
      </c>
      <c r="L31" s="46"/>
      <c r="M31" s="79"/>
      <c r="N31" s="87"/>
      <c r="O31" s="159"/>
      <c r="P31" s="25"/>
      <c r="Q31" s="82"/>
      <c r="R31" s="108">
        <f t="shared" si="13"/>
        <v>0</v>
      </c>
      <c r="S31" s="116"/>
    </row>
    <row r="32" spans="1:19" s="101" customFormat="1" ht="12.75">
      <c r="A32" s="6" t="s">
        <v>88</v>
      </c>
      <c r="B32" s="45"/>
      <c r="C32" s="79"/>
      <c r="D32" s="87"/>
      <c r="E32" s="159"/>
      <c r="F32" s="25">
        <v>3</v>
      </c>
      <c r="G32" s="213">
        <v>751</v>
      </c>
      <c r="H32" s="108">
        <f t="shared" si="12"/>
        <v>754</v>
      </c>
      <c r="I32" s="143"/>
      <c r="J32" s="134"/>
      <c r="K32" s="37"/>
      <c r="L32" s="35"/>
      <c r="M32" s="79"/>
      <c r="N32" s="87"/>
      <c r="O32" s="159"/>
      <c r="P32" s="25"/>
      <c r="Q32" s="82"/>
      <c r="R32" s="108">
        <f t="shared" si="13"/>
        <v>0</v>
      </c>
      <c r="S32" s="116"/>
    </row>
    <row r="33" spans="1:19" ht="12.75">
      <c r="A33" s="6" t="s">
        <v>22</v>
      </c>
      <c r="B33" s="22">
        <f>50*0</f>
        <v>0</v>
      </c>
      <c r="C33" s="79"/>
      <c r="D33" s="87"/>
      <c r="E33" s="159"/>
      <c r="F33" s="25"/>
      <c r="G33" s="82"/>
      <c r="H33" s="108">
        <f t="shared" si="12"/>
        <v>0</v>
      </c>
      <c r="I33" s="143"/>
      <c r="J33" s="133"/>
      <c r="K33" s="23"/>
      <c r="L33" s="26"/>
      <c r="M33" s="79"/>
      <c r="N33" s="87"/>
      <c r="O33" s="159"/>
      <c r="P33" s="25"/>
      <c r="Q33" s="82"/>
      <c r="R33" s="108">
        <f t="shared" si="13"/>
        <v>0</v>
      </c>
      <c r="S33" s="116"/>
    </row>
    <row r="34" spans="1:19" ht="12.75">
      <c r="A34" s="6" t="s">
        <v>23</v>
      </c>
      <c r="B34" s="22">
        <f>30+4359/4359*50</f>
        <v>80</v>
      </c>
      <c r="C34" s="79"/>
      <c r="D34" s="87"/>
      <c r="E34" s="159"/>
      <c r="F34" s="25">
        <f>-12+61</f>
        <v>49</v>
      </c>
      <c r="G34" s="207">
        <f>-85.5</f>
        <v>-85.5</v>
      </c>
      <c r="H34" s="108">
        <f t="shared" si="12"/>
        <v>43.5</v>
      </c>
      <c r="I34" s="147">
        <f>17+63</f>
        <v>80</v>
      </c>
      <c r="J34" s="133"/>
      <c r="K34" s="23"/>
      <c r="L34" s="26"/>
      <c r="M34" s="79"/>
      <c r="N34" s="87"/>
      <c r="O34" s="159"/>
      <c r="P34" s="25"/>
      <c r="Q34" s="82"/>
      <c r="R34" s="108">
        <f t="shared" si="13"/>
        <v>0</v>
      </c>
      <c r="S34" s="116"/>
    </row>
    <row r="35" spans="1:19" ht="12.75">
      <c r="A35" s="6" t="s">
        <v>24</v>
      </c>
      <c r="B35" s="22">
        <f>50*0*4329/4329</f>
        <v>0</v>
      </c>
      <c r="C35" s="79"/>
      <c r="D35" s="87"/>
      <c r="E35" s="159"/>
      <c r="F35" s="25">
        <v>11</v>
      </c>
      <c r="G35" s="82"/>
      <c r="H35" s="108">
        <f t="shared" si="12"/>
        <v>11</v>
      </c>
      <c r="I35" s="143"/>
      <c r="J35" s="133"/>
      <c r="K35" s="23"/>
      <c r="L35" s="26"/>
      <c r="M35" s="79"/>
      <c r="N35" s="87"/>
      <c r="O35" s="159"/>
      <c r="P35" s="25"/>
      <c r="Q35" s="82"/>
      <c r="R35" s="108">
        <f t="shared" si="13"/>
        <v>0</v>
      </c>
      <c r="S35" s="116"/>
    </row>
    <row r="36" spans="1:19" ht="12.75">
      <c r="A36" s="6" t="s">
        <v>25</v>
      </c>
      <c r="B36" s="22">
        <f>100+50</f>
        <v>150</v>
      </c>
      <c r="C36" s="79"/>
      <c r="D36" s="87"/>
      <c r="E36" s="159"/>
      <c r="F36" s="25">
        <f>8+64</f>
        <v>72</v>
      </c>
      <c r="G36" s="207">
        <v>7.5</v>
      </c>
      <c r="H36" s="108">
        <f t="shared" si="12"/>
        <v>229.5</v>
      </c>
      <c r="I36" s="147">
        <v>150</v>
      </c>
      <c r="J36" s="133"/>
      <c r="K36" s="23"/>
      <c r="L36" s="26"/>
      <c r="M36" s="79"/>
      <c r="N36" s="87"/>
      <c r="O36" s="159"/>
      <c r="P36" s="25"/>
      <c r="Q36" s="82"/>
      <c r="R36" s="108">
        <f t="shared" si="13"/>
        <v>0</v>
      </c>
      <c r="S36" s="116"/>
    </row>
    <row r="37" spans="1:19" s="101" customFormat="1" ht="12.75">
      <c r="A37" s="80"/>
      <c r="B37" s="22"/>
      <c r="C37" s="22"/>
      <c r="D37" s="95"/>
      <c r="E37" s="161"/>
      <c r="F37" s="22"/>
      <c r="G37" s="82"/>
      <c r="H37" s="108"/>
      <c r="I37" s="143"/>
      <c r="J37" s="134"/>
      <c r="K37" s="37"/>
      <c r="L37" s="26"/>
      <c r="M37" s="79"/>
      <c r="N37" s="95"/>
      <c r="O37" s="161"/>
      <c r="P37" s="22"/>
      <c r="Q37" s="82"/>
      <c r="R37" s="108"/>
      <c r="S37" s="116"/>
    </row>
    <row r="38" spans="1:19" ht="12.75">
      <c r="A38" s="8" t="s">
        <v>56</v>
      </c>
      <c r="B38" s="1">
        <f aca="true" t="shared" si="14" ref="B38:I38">SUM(B28:B37)</f>
        <v>3688</v>
      </c>
      <c r="C38" s="66">
        <f t="shared" si="14"/>
        <v>0</v>
      </c>
      <c r="D38" s="88">
        <f t="shared" si="14"/>
        <v>0</v>
      </c>
      <c r="E38" s="66">
        <f t="shared" si="14"/>
        <v>0</v>
      </c>
      <c r="F38" s="1">
        <f t="shared" si="14"/>
        <v>283.4</v>
      </c>
      <c r="G38" s="205">
        <f t="shared" si="14"/>
        <v>767.9</v>
      </c>
      <c r="H38" s="113">
        <f t="shared" si="14"/>
        <v>4739.3</v>
      </c>
      <c r="I38" s="145">
        <f t="shared" si="14"/>
        <v>3986</v>
      </c>
      <c r="J38" s="130"/>
      <c r="K38" s="30"/>
      <c r="L38" s="27">
        <f aca="true" t="shared" si="15" ref="L38:S38">SUM(L28:L37)</f>
        <v>500</v>
      </c>
      <c r="M38" s="67">
        <f t="shared" si="15"/>
        <v>0</v>
      </c>
      <c r="N38" s="67">
        <f t="shared" si="15"/>
        <v>0</v>
      </c>
      <c r="O38" s="66">
        <f t="shared" si="15"/>
        <v>0</v>
      </c>
      <c r="P38" s="1">
        <f t="shared" si="15"/>
        <v>45</v>
      </c>
      <c r="Q38" s="205">
        <f t="shared" si="15"/>
        <v>0</v>
      </c>
      <c r="R38" s="113">
        <f t="shared" si="15"/>
        <v>545</v>
      </c>
      <c r="S38" s="118">
        <f t="shared" si="15"/>
        <v>500</v>
      </c>
    </row>
    <row r="39" spans="1:19" ht="12.75">
      <c r="A39" s="6" t="s">
        <v>137</v>
      </c>
      <c r="B39" s="45">
        <v>624</v>
      </c>
      <c r="C39" s="79">
        <v>54</v>
      </c>
      <c r="D39" s="87">
        <f>9</f>
        <v>9</v>
      </c>
      <c r="E39" s="159"/>
      <c r="F39" s="25">
        <f>13+97-5-7+25</f>
        <v>123</v>
      </c>
      <c r="G39" s="207">
        <v>22.9</v>
      </c>
      <c r="H39" s="108">
        <f aca="true" t="shared" si="16" ref="H39:H45">SUM(B39:G39)</f>
        <v>832.9</v>
      </c>
      <c r="I39" s="147">
        <v>714</v>
      </c>
      <c r="J39" s="131"/>
      <c r="K39" s="200" t="s">
        <v>146</v>
      </c>
      <c r="L39" s="26"/>
      <c r="M39" s="68"/>
      <c r="N39" s="68"/>
      <c r="O39" s="68"/>
      <c r="P39" s="22"/>
      <c r="Q39" s="207">
        <v>83.1</v>
      </c>
      <c r="R39" s="108">
        <f aca="true" t="shared" si="17" ref="R39:R45">SUM(L39:Q39)</f>
        <v>83.1</v>
      </c>
      <c r="S39" s="116"/>
    </row>
    <row r="40" spans="1:19" ht="12.75">
      <c r="A40" s="6" t="s">
        <v>26</v>
      </c>
      <c r="B40" s="45">
        <v>2226</v>
      </c>
      <c r="C40" s="79"/>
      <c r="D40" s="87">
        <f>11</f>
        <v>11</v>
      </c>
      <c r="E40" s="159"/>
      <c r="F40" s="25">
        <f>6-90+5-20-12+83+1+10-13-12-4+49</f>
        <v>3</v>
      </c>
      <c r="G40" s="207">
        <v>7.7</v>
      </c>
      <c r="H40" s="108">
        <f t="shared" si="16"/>
        <v>2247.7</v>
      </c>
      <c r="I40" s="147">
        <v>2263</v>
      </c>
      <c r="J40" s="131"/>
      <c r="K40" s="48"/>
      <c r="L40" s="24">
        <f>123*1.05-4.15-125+150</f>
        <v>150</v>
      </c>
      <c r="M40" s="79"/>
      <c r="N40" s="87"/>
      <c r="O40" s="159"/>
      <c r="P40" s="25"/>
      <c r="Q40" s="82"/>
      <c r="R40" s="108">
        <f t="shared" si="17"/>
        <v>150</v>
      </c>
      <c r="S40" s="151">
        <v>150</v>
      </c>
    </row>
    <row r="41" spans="1:19" ht="12.75">
      <c r="A41" s="6" t="s">
        <v>27</v>
      </c>
      <c r="B41" s="45">
        <f>1674-B42-B43</f>
        <v>1311</v>
      </c>
      <c r="C41" s="79"/>
      <c r="D41" s="87">
        <v>14</v>
      </c>
      <c r="E41" s="159"/>
      <c r="F41" s="25">
        <f>30+7+10-21+31+159-11-2+309+100+1+45</f>
        <v>658</v>
      </c>
      <c r="G41" s="207">
        <v>98.9</v>
      </c>
      <c r="H41" s="108">
        <f t="shared" si="16"/>
        <v>2081.9</v>
      </c>
      <c r="I41" s="147">
        <v>1775</v>
      </c>
      <c r="J41" s="131"/>
      <c r="K41" s="48"/>
      <c r="L41" s="24">
        <f>100*1.1-110+50</f>
        <v>50.000000000000014</v>
      </c>
      <c r="M41" s="79"/>
      <c r="N41" s="87"/>
      <c r="O41" s="159"/>
      <c r="P41" s="25"/>
      <c r="Q41" s="82"/>
      <c r="R41" s="108">
        <f t="shared" si="17"/>
        <v>50.000000000000014</v>
      </c>
      <c r="S41" s="151">
        <v>50</v>
      </c>
    </row>
    <row r="42" spans="1:19" ht="12.75">
      <c r="A42" s="6" t="s">
        <v>28</v>
      </c>
      <c r="B42" s="45">
        <f>12+16</f>
        <v>28</v>
      </c>
      <c r="C42" s="79"/>
      <c r="D42" s="87"/>
      <c r="E42" s="159"/>
      <c r="F42" s="25"/>
      <c r="G42" s="82"/>
      <c r="H42" s="108">
        <f t="shared" si="16"/>
        <v>28</v>
      </c>
      <c r="I42" s="143"/>
      <c r="J42" s="136"/>
      <c r="K42" s="48"/>
      <c r="L42" s="26"/>
      <c r="M42" s="68"/>
      <c r="N42" s="68"/>
      <c r="O42" s="68"/>
      <c r="P42" s="22"/>
      <c r="Q42" s="82"/>
      <c r="R42" s="108">
        <f t="shared" si="17"/>
        <v>0</v>
      </c>
      <c r="S42" s="116"/>
    </row>
    <row r="43" spans="1:19" ht="12.75">
      <c r="A43" s="6" t="s">
        <v>29</v>
      </c>
      <c r="B43" s="22">
        <f>35+60+40+50+150-335*0</f>
        <v>335</v>
      </c>
      <c r="C43" s="79"/>
      <c r="D43" s="87"/>
      <c r="E43" s="159"/>
      <c r="F43" s="25"/>
      <c r="G43" s="82"/>
      <c r="H43" s="108">
        <f t="shared" si="16"/>
        <v>335</v>
      </c>
      <c r="I43" s="143"/>
      <c r="J43" s="133"/>
      <c r="K43" s="48"/>
      <c r="L43" s="26"/>
      <c r="M43" s="68"/>
      <c r="N43" s="68"/>
      <c r="O43" s="68"/>
      <c r="P43" s="22"/>
      <c r="Q43" s="82"/>
      <c r="R43" s="108">
        <f t="shared" si="17"/>
        <v>0</v>
      </c>
      <c r="S43" s="116"/>
    </row>
    <row r="44" spans="1:19" ht="30" customHeight="1">
      <c r="A44" s="6" t="s">
        <v>30</v>
      </c>
      <c r="B44" s="22"/>
      <c r="C44" s="79"/>
      <c r="D44" s="87"/>
      <c r="E44" s="159"/>
      <c r="F44" s="25">
        <v>20</v>
      </c>
      <c r="G44" s="82"/>
      <c r="H44" s="108">
        <f t="shared" si="16"/>
        <v>20</v>
      </c>
      <c r="I44" s="147">
        <f>1200+650+350</f>
        <v>2200</v>
      </c>
      <c r="J44" s="134" t="s">
        <v>112</v>
      </c>
      <c r="K44" s="48"/>
      <c r="L44" s="26"/>
      <c r="M44" s="68"/>
      <c r="N44" s="68"/>
      <c r="O44" s="68"/>
      <c r="P44" s="22"/>
      <c r="Q44" s="82"/>
      <c r="R44" s="108">
        <f t="shared" si="17"/>
        <v>0</v>
      </c>
      <c r="S44" s="116"/>
    </row>
    <row r="45" spans="1:19" ht="12.75">
      <c r="A45" s="6" t="s">
        <v>120</v>
      </c>
      <c r="B45" s="22"/>
      <c r="C45" s="79"/>
      <c r="D45" s="87"/>
      <c r="E45" s="159"/>
      <c r="F45" s="25">
        <f>20+16</f>
        <v>36</v>
      </c>
      <c r="G45" s="82"/>
      <c r="H45" s="108">
        <f t="shared" si="16"/>
        <v>36</v>
      </c>
      <c r="I45" s="143"/>
      <c r="J45" s="133"/>
      <c r="K45" s="48"/>
      <c r="L45" s="26"/>
      <c r="M45" s="68"/>
      <c r="N45" s="68"/>
      <c r="O45" s="68"/>
      <c r="P45" s="22"/>
      <c r="Q45" s="82"/>
      <c r="R45" s="108">
        <f t="shared" si="17"/>
        <v>0</v>
      </c>
      <c r="S45" s="116"/>
    </row>
    <row r="46" spans="1:19" ht="12.75">
      <c r="A46" s="8" t="s">
        <v>54</v>
      </c>
      <c r="B46" s="1">
        <f aca="true" t="shared" si="18" ref="B46:I46">SUM(B39:B45)</f>
        <v>4524</v>
      </c>
      <c r="C46" s="66">
        <f t="shared" si="18"/>
        <v>54</v>
      </c>
      <c r="D46" s="88">
        <f t="shared" si="18"/>
        <v>34</v>
      </c>
      <c r="E46" s="66">
        <f t="shared" si="18"/>
        <v>0</v>
      </c>
      <c r="F46" s="1">
        <f t="shared" si="18"/>
        <v>840</v>
      </c>
      <c r="G46" s="205">
        <f t="shared" si="18"/>
        <v>129.5</v>
      </c>
      <c r="H46" s="113">
        <f t="shared" si="18"/>
        <v>5581.5</v>
      </c>
      <c r="I46" s="145">
        <f t="shared" si="18"/>
        <v>6952</v>
      </c>
      <c r="J46" s="130"/>
      <c r="K46" s="30"/>
      <c r="L46" s="27">
        <f aca="true" t="shared" si="19" ref="L46:S46">SUM(L39:L45)</f>
        <v>200</v>
      </c>
      <c r="M46" s="67">
        <f t="shared" si="19"/>
        <v>0</v>
      </c>
      <c r="N46" s="67">
        <f t="shared" si="19"/>
        <v>0</v>
      </c>
      <c r="O46" s="66">
        <f t="shared" si="19"/>
        <v>0</v>
      </c>
      <c r="P46" s="1">
        <f t="shared" si="19"/>
        <v>0</v>
      </c>
      <c r="Q46" s="205">
        <f t="shared" si="19"/>
        <v>83.1</v>
      </c>
      <c r="R46" s="113">
        <f t="shared" si="19"/>
        <v>283.1</v>
      </c>
      <c r="S46" s="118">
        <f t="shared" si="19"/>
        <v>200</v>
      </c>
    </row>
    <row r="47" spans="1:19" ht="12.75">
      <c r="A47" s="6" t="s">
        <v>31</v>
      </c>
      <c r="B47" s="22">
        <v>350</v>
      </c>
      <c r="C47" s="79"/>
      <c r="D47" s="87"/>
      <c r="E47" s="159">
        <v>-49.7</v>
      </c>
      <c r="F47" s="25">
        <f>9+1-6.6+2.2+1+39.2</f>
        <v>45.800000000000004</v>
      </c>
      <c r="G47" s="82"/>
      <c r="H47" s="108">
        <f>SUM(B47:G47)</f>
        <v>346.1</v>
      </c>
      <c r="I47" s="147">
        <v>350</v>
      </c>
      <c r="J47" s="133"/>
      <c r="K47" s="37" t="s">
        <v>49</v>
      </c>
      <c r="L47" s="26"/>
      <c r="M47" s="79"/>
      <c r="N47" s="87"/>
      <c r="O47" s="159"/>
      <c r="P47" s="25"/>
      <c r="Q47" s="82"/>
      <c r="R47" s="108">
        <f>SUM(L47:Q47)</f>
        <v>0</v>
      </c>
      <c r="S47" s="116"/>
    </row>
    <row r="48" spans="1:19" s="101" customFormat="1" ht="12.75" hidden="1">
      <c r="A48" s="6"/>
      <c r="B48" s="32"/>
      <c r="C48" s="79"/>
      <c r="D48" s="95"/>
      <c r="E48" s="161"/>
      <c r="F48" s="22"/>
      <c r="G48" s="82"/>
      <c r="H48" s="108"/>
      <c r="I48" s="143"/>
      <c r="J48" s="129"/>
      <c r="K48" s="37"/>
      <c r="L48" s="26"/>
      <c r="M48" s="79"/>
      <c r="N48" s="95"/>
      <c r="O48" s="161"/>
      <c r="P48" s="22"/>
      <c r="Q48" s="82"/>
      <c r="R48" s="108"/>
      <c r="S48" s="116"/>
    </row>
    <row r="49" spans="1:19" ht="12.75">
      <c r="A49" s="8" t="s">
        <v>53</v>
      </c>
      <c r="B49" s="1">
        <f aca="true" t="shared" si="20" ref="B49:I49">SUM(B47:B48)</f>
        <v>350</v>
      </c>
      <c r="C49" s="67">
        <f t="shared" si="20"/>
        <v>0</v>
      </c>
      <c r="D49" s="88">
        <f>SUM(D47:D48)</f>
        <v>0</v>
      </c>
      <c r="E49" s="66">
        <f t="shared" si="20"/>
        <v>-49.7</v>
      </c>
      <c r="F49" s="1">
        <f t="shared" si="20"/>
        <v>45.800000000000004</v>
      </c>
      <c r="G49" s="205">
        <f t="shared" si="20"/>
        <v>0</v>
      </c>
      <c r="H49" s="113">
        <f t="shared" si="20"/>
        <v>346.1</v>
      </c>
      <c r="I49" s="145">
        <f t="shared" si="20"/>
        <v>350</v>
      </c>
      <c r="J49" s="130"/>
      <c r="K49" s="42"/>
      <c r="L49" s="27">
        <f aca="true" t="shared" si="21" ref="L49:S49">SUM(L47:L48)</f>
        <v>0</v>
      </c>
      <c r="M49" s="67">
        <f t="shared" si="21"/>
        <v>0</v>
      </c>
      <c r="N49" s="67">
        <f t="shared" si="21"/>
        <v>0</v>
      </c>
      <c r="O49" s="66">
        <f t="shared" si="21"/>
        <v>0</v>
      </c>
      <c r="P49" s="1">
        <f t="shared" si="21"/>
        <v>0</v>
      </c>
      <c r="Q49" s="205">
        <f t="shared" si="21"/>
        <v>0</v>
      </c>
      <c r="R49" s="113">
        <f t="shared" si="21"/>
        <v>0</v>
      </c>
      <c r="S49" s="118">
        <f t="shared" si="21"/>
        <v>0</v>
      </c>
    </row>
    <row r="50" spans="1:19" ht="29.25">
      <c r="A50" s="6" t="s">
        <v>138</v>
      </c>
      <c r="B50" s="45">
        <v>5500</v>
      </c>
      <c r="C50" s="79">
        <v>338</v>
      </c>
      <c r="D50" s="87">
        <f>-300+74/74*201+1061/1061*35+1062/1062*42+1065/1065*147+1066/1066*48+1074/1074*146+1075/1075*131+1079/1079*393</f>
        <v>843</v>
      </c>
      <c r="E50" s="159">
        <v>-313.8</v>
      </c>
      <c r="F50" s="106">
        <f>2-1591.1</f>
        <v>-1589.1</v>
      </c>
      <c r="G50" s="207">
        <v>-377.6</v>
      </c>
      <c r="H50" s="108">
        <f>SUM(B50:G50)</f>
        <v>4400.5</v>
      </c>
      <c r="I50" s="147">
        <f>3000+4500+250</f>
        <v>7750</v>
      </c>
      <c r="J50" s="134" t="s">
        <v>113</v>
      </c>
      <c r="K50" s="38"/>
      <c r="L50" s="46">
        <f>10000*0+(1350*12-16200)*0+(87694-66438)-21256/2+1372-12000</f>
        <v>0</v>
      </c>
      <c r="M50" s="74"/>
      <c r="N50" s="74"/>
      <c r="O50" s="74"/>
      <c r="P50" s="47"/>
      <c r="Q50" s="82"/>
      <c r="R50" s="108">
        <f>SUM(L50:Q50)</f>
        <v>0</v>
      </c>
      <c r="S50" s="116"/>
    </row>
    <row r="51" spans="1:19" ht="12.75">
      <c r="A51" s="6" t="s">
        <v>32</v>
      </c>
      <c r="B51" s="45">
        <v>7665</v>
      </c>
      <c r="C51" s="79"/>
      <c r="D51" s="87">
        <v>1706</v>
      </c>
      <c r="E51" s="159">
        <v>15.4</v>
      </c>
      <c r="F51" s="106">
        <f>19+223</f>
        <v>242</v>
      </c>
      <c r="G51" s="82"/>
      <c r="H51" s="108">
        <f>SUM(B51:G51)</f>
        <v>9628.4</v>
      </c>
      <c r="I51" s="147">
        <f>3632/3632*1000+3639/3639*7665</f>
        <v>8665</v>
      </c>
      <c r="J51" s="132" t="s">
        <v>114</v>
      </c>
      <c r="K51" s="38"/>
      <c r="L51" s="39"/>
      <c r="M51" s="73"/>
      <c r="N51" s="73"/>
      <c r="O51" s="73"/>
      <c r="P51" s="40"/>
      <c r="Q51" s="82"/>
      <c r="R51" s="108">
        <f>SUM(L51:Q51)</f>
        <v>0</v>
      </c>
      <c r="S51" s="116"/>
    </row>
    <row r="52" spans="1:19" ht="12.75">
      <c r="A52" s="8" t="s">
        <v>33</v>
      </c>
      <c r="B52" s="1">
        <f aca="true" t="shared" si="22" ref="B52:I52">SUM(B50:B51)</f>
        <v>13165</v>
      </c>
      <c r="C52" s="66">
        <f t="shared" si="22"/>
        <v>338</v>
      </c>
      <c r="D52" s="88">
        <f t="shared" si="22"/>
        <v>2549</v>
      </c>
      <c r="E52" s="66">
        <f t="shared" si="22"/>
        <v>-298.40000000000003</v>
      </c>
      <c r="F52" s="1">
        <f t="shared" si="22"/>
        <v>-1347.1</v>
      </c>
      <c r="G52" s="205">
        <f t="shared" si="22"/>
        <v>-377.6</v>
      </c>
      <c r="H52" s="113">
        <f t="shared" si="22"/>
        <v>14028.9</v>
      </c>
      <c r="I52" s="145">
        <f t="shared" si="22"/>
        <v>16415</v>
      </c>
      <c r="J52" s="130"/>
      <c r="K52" s="42"/>
      <c r="L52" s="27">
        <f aca="true" t="shared" si="23" ref="L52:S52">SUM(L50:L51)</f>
        <v>0</v>
      </c>
      <c r="M52" s="67">
        <f t="shared" si="23"/>
        <v>0</v>
      </c>
      <c r="N52" s="67">
        <f t="shared" si="23"/>
        <v>0</v>
      </c>
      <c r="O52" s="66">
        <f t="shared" si="23"/>
        <v>0</v>
      </c>
      <c r="P52" s="1">
        <f t="shared" si="23"/>
        <v>0</v>
      </c>
      <c r="Q52" s="205">
        <f t="shared" si="23"/>
        <v>0</v>
      </c>
      <c r="R52" s="113">
        <f t="shared" si="23"/>
        <v>0</v>
      </c>
      <c r="S52" s="118">
        <f t="shared" si="23"/>
        <v>0</v>
      </c>
    </row>
    <row r="53" spans="1:19" ht="12.75">
      <c r="A53" s="6" t="s">
        <v>34</v>
      </c>
      <c r="B53" s="45">
        <v>2707</v>
      </c>
      <c r="C53" s="79"/>
      <c r="D53" s="87"/>
      <c r="E53" s="159">
        <f>71+8</f>
        <v>79</v>
      </c>
      <c r="F53" s="25">
        <f>3+3-10+145+28.7+2</f>
        <v>171.7</v>
      </c>
      <c r="G53" s="82"/>
      <c r="H53" s="108">
        <f aca="true" t="shared" si="24" ref="H53:H63">SUM(B53:G53)</f>
        <v>2957.7</v>
      </c>
      <c r="I53" s="147">
        <v>2777</v>
      </c>
      <c r="J53" s="130"/>
      <c r="K53" s="49" t="s">
        <v>3</v>
      </c>
      <c r="L53" s="39">
        <f>100</f>
        <v>100</v>
      </c>
      <c r="M53" s="79"/>
      <c r="N53" s="87"/>
      <c r="O53" s="159"/>
      <c r="P53" s="25"/>
      <c r="Q53" s="82"/>
      <c r="R53" s="108">
        <f aca="true" t="shared" si="25" ref="R53:R63">SUM(L53:Q53)</f>
        <v>100</v>
      </c>
      <c r="S53" s="152">
        <v>20</v>
      </c>
    </row>
    <row r="54" spans="1:20" ht="18.75">
      <c r="A54" s="6" t="s">
        <v>139</v>
      </c>
      <c r="B54" s="50">
        <f>46783-SUM(B55:B64)</f>
        <v>42616</v>
      </c>
      <c r="C54" s="79">
        <v>1801</v>
      </c>
      <c r="D54" s="87">
        <f>(3632/3632*-1706+3111/3111*-70)+1/1*(26+9)+3/3*406/406*5+4/4*(2/2*18+4/4*2+2013/2013*30+6522/6522*27)+10/10*((-493.9+406/406*-5)-600+2013/2013*(9+9))</f>
        <v>-2739.9</v>
      </c>
      <c r="E54" s="195">
        <f>10/10*15+1/1*(27.1-4.7)+2/2*11.6+3/3*-3168.4+4/4*((5+317-283.4)+(43.3+2.6)+10+(6+4))</f>
        <v>-3014.9</v>
      </c>
      <c r="F54" s="25">
        <f>25+90-1106.7-114+3+7-43-8-40+358+403-1100</f>
        <v>-1525.7</v>
      </c>
      <c r="G54" s="207">
        <v>45.5</v>
      </c>
      <c r="H54" s="108">
        <f t="shared" si="24"/>
        <v>37182</v>
      </c>
      <c r="I54" s="147">
        <f>45194.4-I59-I60-I61-I63</f>
        <v>42594.4</v>
      </c>
      <c r="J54" s="137" t="s">
        <v>115</v>
      </c>
      <c r="K54" s="51" t="s">
        <v>4</v>
      </c>
      <c r="L54" s="45">
        <v>15917</v>
      </c>
      <c r="M54" s="79"/>
      <c r="N54" s="87"/>
      <c r="O54" s="159"/>
      <c r="P54" s="25"/>
      <c r="Q54" s="82"/>
      <c r="R54" s="108">
        <f t="shared" si="25"/>
        <v>15917</v>
      </c>
      <c r="S54" s="217">
        <f>15917+98</f>
        <v>16015</v>
      </c>
      <c r="T54" s="183"/>
    </row>
    <row r="55" spans="1:19" ht="12.75" hidden="1">
      <c r="A55" s="6" t="s">
        <v>44</v>
      </c>
      <c r="B55" s="50"/>
      <c r="C55" s="79"/>
      <c r="D55" s="87"/>
      <c r="E55" s="159"/>
      <c r="F55" s="25"/>
      <c r="G55" s="82"/>
      <c r="H55" s="108">
        <f t="shared" si="24"/>
        <v>0</v>
      </c>
      <c r="I55" s="143"/>
      <c r="J55" s="130"/>
      <c r="K55" s="51" t="s">
        <v>51</v>
      </c>
      <c r="L55" s="35"/>
      <c r="M55" s="79"/>
      <c r="N55" s="87"/>
      <c r="O55" s="159"/>
      <c r="P55" s="25"/>
      <c r="Q55" s="82"/>
      <c r="R55" s="108">
        <f t="shared" si="25"/>
        <v>0</v>
      </c>
      <c r="S55" s="116"/>
    </row>
    <row r="56" spans="1:19" ht="12.75" hidden="1">
      <c r="A56" s="6" t="s">
        <v>45</v>
      </c>
      <c r="B56" s="50"/>
      <c r="C56" s="79"/>
      <c r="D56" s="87"/>
      <c r="E56" s="159"/>
      <c r="F56" s="25"/>
      <c r="G56" s="82"/>
      <c r="H56" s="108">
        <f t="shared" si="24"/>
        <v>0</v>
      </c>
      <c r="I56" s="143"/>
      <c r="J56" s="130"/>
      <c r="K56" s="51" t="s">
        <v>47</v>
      </c>
      <c r="L56" s="35"/>
      <c r="M56" s="79"/>
      <c r="N56" s="87"/>
      <c r="O56" s="159"/>
      <c r="P56" s="25"/>
      <c r="Q56" s="82"/>
      <c r="R56" s="108">
        <f t="shared" si="25"/>
        <v>0</v>
      </c>
      <c r="S56" s="116"/>
    </row>
    <row r="57" spans="1:19" ht="12.75" hidden="1">
      <c r="A57" s="9" t="s">
        <v>46</v>
      </c>
      <c r="B57" s="50"/>
      <c r="C57" s="79"/>
      <c r="D57" s="87"/>
      <c r="E57" s="159"/>
      <c r="F57" s="25"/>
      <c r="G57" s="82"/>
      <c r="H57" s="108">
        <f t="shared" si="24"/>
        <v>0</v>
      </c>
      <c r="I57" s="143"/>
      <c r="J57" s="130"/>
      <c r="K57" s="37" t="s">
        <v>50</v>
      </c>
      <c r="L57" s="35"/>
      <c r="M57" s="79"/>
      <c r="N57" s="87"/>
      <c r="O57" s="159"/>
      <c r="P57" s="25"/>
      <c r="Q57" s="82"/>
      <c r="R57" s="108">
        <f t="shared" si="25"/>
        <v>0</v>
      </c>
      <c r="S57" s="116"/>
    </row>
    <row r="58" spans="1:19" ht="12.75">
      <c r="A58" s="16" t="s">
        <v>75</v>
      </c>
      <c r="B58" s="50"/>
      <c r="C58" s="79">
        <f>3/3*336*0+4/4*(176+44+16)*0*5/5</f>
        <v>0</v>
      </c>
      <c r="D58" s="87"/>
      <c r="E58" s="159"/>
      <c r="F58" s="25"/>
      <c r="G58" s="82"/>
      <c r="H58" s="108">
        <f t="shared" si="24"/>
        <v>0</v>
      </c>
      <c r="I58" s="143"/>
      <c r="J58" s="130"/>
      <c r="K58" s="37" t="s">
        <v>76</v>
      </c>
      <c r="L58" s="35"/>
      <c r="M58" s="79">
        <f>C58</f>
        <v>0</v>
      </c>
      <c r="N58" s="87"/>
      <c r="O58" s="159"/>
      <c r="P58" s="25"/>
      <c r="Q58" s="82"/>
      <c r="R58" s="108">
        <f t="shared" si="25"/>
        <v>0</v>
      </c>
      <c r="S58" s="116"/>
    </row>
    <row r="59" spans="1:19" ht="12.75">
      <c r="A59" s="9" t="s">
        <v>35</v>
      </c>
      <c r="B59" s="22">
        <f>583-62+523+262/2-1175*0</f>
        <v>1175</v>
      </c>
      <c r="C59" s="79"/>
      <c r="D59" s="87"/>
      <c r="E59" s="159">
        <f>21/21*(127+295.2)+23/23*(232+28)+732/732*(17.3+65)</f>
        <v>764.5</v>
      </c>
      <c r="F59" s="25"/>
      <c r="G59" s="82"/>
      <c r="H59" s="108">
        <f t="shared" si="24"/>
        <v>1939.5</v>
      </c>
      <c r="I59" s="147">
        <v>1200</v>
      </c>
      <c r="J59" s="130"/>
      <c r="K59" s="44" t="s">
        <v>5</v>
      </c>
      <c r="L59" s="26"/>
      <c r="M59" s="79"/>
      <c r="N59" s="87"/>
      <c r="O59" s="159"/>
      <c r="P59" s="25"/>
      <c r="Q59" s="82"/>
      <c r="R59" s="108">
        <f t="shared" si="25"/>
        <v>0</v>
      </c>
      <c r="S59" s="116"/>
    </row>
    <row r="60" spans="1:19" ht="12.75">
      <c r="A60" s="6" t="s">
        <v>140</v>
      </c>
      <c r="B60" s="22">
        <f>(3113/3113*(5000-3500)+6171/6171*((4000-3612/3612*B50)+2000-2500))*0+2012/2012*(3000+1000+2000-6000)+2013/2013*(1500)</f>
        <v>1500</v>
      </c>
      <c r="C60" s="79">
        <f>369</f>
        <v>369</v>
      </c>
      <c r="D60" s="87">
        <f>4/4*(125+99+6171/6171*85+192108/192108*(11+625))</f>
        <v>945</v>
      </c>
      <c r="E60" s="159">
        <f>11+340+166.3+44.8</f>
        <v>562.0999999999999</v>
      </c>
      <c r="F60" s="25"/>
      <c r="G60" s="213">
        <f>100.7+146.1</f>
        <v>246.8</v>
      </c>
      <c r="H60" s="108">
        <f t="shared" si="24"/>
        <v>3622.9</v>
      </c>
      <c r="I60" s="143"/>
      <c r="J60" s="130"/>
      <c r="K60" s="37" t="s">
        <v>60</v>
      </c>
      <c r="L60" s="26">
        <f>300*0+2012/2012*500</f>
        <v>500</v>
      </c>
      <c r="M60" s="79"/>
      <c r="N60" s="87"/>
      <c r="O60" s="159"/>
      <c r="P60" s="25"/>
      <c r="Q60" s="82"/>
      <c r="R60" s="108">
        <f t="shared" si="25"/>
        <v>500</v>
      </c>
      <c r="S60" s="151">
        <v>400</v>
      </c>
    </row>
    <row r="61" spans="1:19" ht="12.75">
      <c r="A61" s="6" t="s">
        <v>36</v>
      </c>
      <c r="B61" s="22">
        <f>150*0+400</f>
        <v>400</v>
      </c>
      <c r="C61" s="79"/>
      <c r="D61" s="87"/>
      <c r="E61" s="159">
        <f>5.7+2.3+3+(5+16+2)+1/1*4.7+4/4*8</f>
        <v>46.7</v>
      </c>
      <c r="F61" s="25"/>
      <c r="G61" s="82"/>
      <c r="H61" s="108">
        <f t="shared" si="24"/>
        <v>446.7</v>
      </c>
      <c r="I61" s="147">
        <v>400</v>
      </c>
      <c r="J61" s="138"/>
      <c r="K61" s="37" t="s">
        <v>61</v>
      </c>
      <c r="L61" s="26"/>
      <c r="M61" s="79"/>
      <c r="N61" s="87">
        <f>4/4*550+406/406*6.7+5/5*(20)</f>
        <v>576.7</v>
      </c>
      <c r="O61" s="159">
        <v>633.9</v>
      </c>
      <c r="P61" s="25">
        <v>21.7</v>
      </c>
      <c r="Q61" s="207">
        <v>45</v>
      </c>
      <c r="R61" s="108">
        <f t="shared" si="25"/>
        <v>1277.3</v>
      </c>
      <c r="S61" s="116"/>
    </row>
    <row r="62" spans="1:19" ht="12.75">
      <c r="A62" s="6"/>
      <c r="B62" s="22"/>
      <c r="C62" s="79"/>
      <c r="D62" s="87"/>
      <c r="E62" s="159"/>
      <c r="F62" s="25"/>
      <c r="G62" s="82"/>
      <c r="H62" s="108">
        <f t="shared" si="24"/>
        <v>0</v>
      </c>
      <c r="I62" s="143"/>
      <c r="J62" s="138"/>
      <c r="K62" s="37" t="s">
        <v>84</v>
      </c>
      <c r="L62" s="24"/>
      <c r="M62" s="79"/>
      <c r="N62" s="87">
        <f>4/4*186</f>
        <v>186</v>
      </c>
      <c r="O62" s="159">
        <v>31.9</v>
      </c>
      <c r="P62" s="25">
        <v>44.3</v>
      </c>
      <c r="Q62" s="207"/>
      <c r="R62" s="108">
        <f t="shared" si="25"/>
        <v>262.2</v>
      </c>
      <c r="S62" s="116"/>
    </row>
    <row r="63" spans="1:19" ht="12.75">
      <c r="A63" s="6" t="s">
        <v>37</v>
      </c>
      <c r="B63" s="22">
        <f>16/16*(509+101)+(77+50)+352+3-1092*0</f>
        <v>1092</v>
      </c>
      <c r="C63" s="79"/>
      <c r="D63" s="87"/>
      <c r="E63" s="159"/>
      <c r="F63" s="25"/>
      <c r="G63" s="82"/>
      <c r="H63" s="108">
        <f t="shared" si="24"/>
        <v>1092</v>
      </c>
      <c r="I63" s="147">
        <v>1000</v>
      </c>
      <c r="J63" s="133"/>
      <c r="K63" s="37" t="s">
        <v>85</v>
      </c>
      <c r="L63" s="24"/>
      <c r="M63" s="79"/>
      <c r="N63" s="87">
        <f>4/4*235</f>
        <v>235</v>
      </c>
      <c r="O63" s="159"/>
      <c r="P63" s="25">
        <v>5.7</v>
      </c>
      <c r="Q63" s="207">
        <v>10.4</v>
      </c>
      <c r="R63" s="108">
        <f t="shared" si="25"/>
        <v>251.1</v>
      </c>
      <c r="S63" s="116"/>
    </row>
    <row r="64" spans="1:19" ht="12.75" hidden="1">
      <c r="A64" s="6" t="s">
        <v>38</v>
      </c>
      <c r="B64" s="22"/>
      <c r="C64" s="79"/>
      <c r="D64" s="87"/>
      <c r="E64" s="159"/>
      <c r="F64" s="25"/>
      <c r="G64" s="82"/>
      <c r="H64" s="108"/>
      <c r="I64" s="143"/>
      <c r="J64" s="133"/>
      <c r="K64" s="37" t="s">
        <v>68</v>
      </c>
      <c r="L64" s="26"/>
      <c r="M64" s="79"/>
      <c r="N64" s="87"/>
      <c r="O64" s="159"/>
      <c r="P64" s="25"/>
      <c r="Q64" s="82"/>
      <c r="R64" s="108"/>
      <c r="S64" s="116"/>
    </row>
    <row r="65" spans="1:19" ht="12.75">
      <c r="A65" s="8" t="s">
        <v>69</v>
      </c>
      <c r="B65" s="1">
        <f aca="true" t="shared" si="26" ref="B65:I65">SUM(B53:B64)</f>
        <v>49490</v>
      </c>
      <c r="C65" s="66">
        <f t="shared" si="26"/>
        <v>2170</v>
      </c>
      <c r="D65" s="88">
        <f>SUM(D53:D64)</f>
        <v>-1794.9</v>
      </c>
      <c r="E65" s="66">
        <f t="shared" si="26"/>
        <v>-1562.6000000000001</v>
      </c>
      <c r="F65" s="1">
        <f t="shared" si="26"/>
        <v>-1354</v>
      </c>
      <c r="G65" s="205">
        <f t="shared" si="26"/>
        <v>292.3</v>
      </c>
      <c r="H65" s="113">
        <f t="shared" si="26"/>
        <v>47240.799999999996</v>
      </c>
      <c r="I65" s="145">
        <f t="shared" si="26"/>
        <v>47971.4</v>
      </c>
      <c r="J65" s="139">
        <f>-1562.6-E65</f>
        <v>0</v>
      </c>
      <c r="K65" s="30"/>
      <c r="L65" s="27">
        <f aca="true" t="shared" si="27" ref="L65:R65">SUM(L53:L64)</f>
        <v>16517</v>
      </c>
      <c r="M65" s="67">
        <f t="shared" si="27"/>
        <v>0</v>
      </c>
      <c r="N65" s="67">
        <f t="shared" si="27"/>
        <v>997.7</v>
      </c>
      <c r="O65" s="66">
        <f t="shared" si="27"/>
        <v>665.8</v>
      </c>
      <c r="P65" s="1">
        <f t="shared" si="27"/>
        <v>71.7</v>
      </c>
      <c r="Q65" s="205">
        <f t="shared" si="27"/>
        <v>55.4</v>
      </c>
      <c r="R65" s="113">
        <f t="shared" si="27"/>
        <v>18307.6</v>
      </c>
      <c r="S65" s="118">
        <f>SUM(S53:S64)</f>
        <v>16435</v>
      </c>
    </row>
    <row r="66" spans="1:19" ht="12.75">
      <c r="A66" s="6"/>
      <c r="B66" s="22"/>
      <c r="C66" s="68"/>
      <c r="D66" s="90"/>
      <c r="E66" s="68"/>
      <c r="F66" s="22"/>
      <c r="G66" s="82"/>
      <c r="H66" s="112"/>
      <c r="I66" s="144"/>
      <c r="J66" s="140"/>
      <c r="K66" s="37" t="s">
        <v>6</v>
      </c>
      <c r="L66" s="52">
        <f>((250+35+520+13+250+1300)+32-2400)*0+(2013/2013*(250+10+560+(8+3)+250)+(250*4-2078)*0)</f>
        <v>1081</v>
      </c>
      <c r="M66" s="79"/>
      <c r="N66" s="87"/>
      <c r="O66" s="159"/>
      <c r="P66" s="25"/>
      <c r="Q66" s="82"/>
      <c r="R66" s="108">
        <f aca="true" t="shared" si="28" ref="R66:R74">SUM(L66:Q66)</f>
        <v>1081</v>
      </c>
      <c r="S66" s="120">
        <f>250+10+560+11+250</f>
        <v>1081</v>
      </c>
    </row>
    <row r="67" spans="1:19" ht="12.75">
      <c r="A67" s="6"/>
      <c r="B67" s="22"/>
      <c r="C67" s="68"/>
      <c r="D67" s="90"/>
      <c r="E67" s="68"/>
      <c r="F67" s="22"/>
      <c r="G67" s="82"/>
      <c r="H67" s="112"/>
      <c r="I67" s="144"/>
      <c r="J67" s="140"/>
      <c r="K67" s="37" t="s">
        <v>7</v>
      </c>
      <c r="L67" s="26">
        <f>2700*1.035+5.5-2800+1800</f>
        <v>1800</v>
      </c>
      <c r="M67" s="79"/>
      <c r="N67" s="87"/>
      <c r="O67" s="159">
        <v>700</v>
      </c>
      <c r="P67" s="25">
        <v>600</v>
      </c>
      <c r="Q67" s="207">
        <v>104</v>
      </c>
      <c r="R67" s="108">
        <f t="shared" si="28"/>
        <v>3204</v>
      </c>
      <c r="S67" s="216">
        <f>3200+180315/180315*(40517-40457)+(15917-16015)</f>
        <v>3162</v>
      </c>
    </row>
    <row r="68" spans="1:19" ht="12.75">
      <c r="A68" s="6"/>
      <c r="B68" s="22"/>
      <c r="C68" s="68"/>
      <c r="D68" s="90"/>
      <c r="E68" s="68"/>
      <c r="F68" s="22"/>
      <c r="G68" s="82"/>
      <c r="H68" s="112"/>
      <c r="I68" s="144"/>
      <c r="J68" s="133"/>
      <c r="K68" s="37" t="s">
        <v>8</v>
      </c>
      <c r="L68" s="26">
        <f>5000*0+9200*0+2012/2012*8700*2013/2013*0+2014/2014*7500</f>
        <v>7500</v>
      </c>
      <c r="M68" s="79"/>
      <c r="N68" s="87"/>
      <c r="O68" s="159"/>
      <c r="P68" s="25"/>
      <c r="Q68" s="82"/>
      <c r="R68" s="108">
        <f t="shared" si="28"/>
        <v>7500</v>
      </c>
      <c r="S68" s="120">
        <v>7500</v>
      </c>
    </row>
    <row r="69" spans="1:19" ht="12.75">
      <c r="A69" s="6"/>
      <c r="B69" s="22"/>
      <c r="C69" s="68"/>
      <c r="D69" s="90"/>
      <c r="E69" s="68"/>
      <c r="F69" s="22"/>
      <c r="G69" s="82"/>
      <c r="H69" s="112"/>
      <c r="I69" s="144"/>
      <c r="J69" s="138"/>
      <c r="K69" s="37" t="s">
        <v>9</v>
      </c>
      <c r="L69" s="35">
        <f>8408*3.728472883*0+31120*0+2012/2012*(38243.68+0.32)*0+2013/2013*(37797*0+37667)*0+2014/2014*37330</f>
        <v>37330</v>
      </c>
      <c r="M69" s="79"/>
      <c r="N69" s="87"/>
      <c r="O69" s="159"/>
      <c r="P69" s="25"/>
      <c r="Q69" s="82"/>
      <c r="R69" s="108">
        <f t="shared" si="28"/>
        <v>37330</v>
      </c>
      <c r="S69" s="182">
        <f>(39180+1337-40517*0)*0+(39079+1378)</f>
        <v>40457</v>
      </c>
    </row>
    <row r="70" spans="1:19" s="101" customFormat="1" ht="12.75">
      <c r="A70" s="6"/>
      <c r="B70" s="22"/>
      <c r="C70" s="68"/>
      <c r="D70" s="90"/>
      <c r="E70" s="68"/>
      <c r="F70" s="22"/>
      <c r="G70" s="82"/>
      <c r="H70" s="124"/>
      <c r="I70" s="147"/>
      <c r="J70" s="134"/>
      <c r="K70" s="37" t="s">
        <v>65</v>
      </c>
      <c r="L70" s="26"/>
      <c r="M70" s="79">
        <v>3837</v>
      </c>
      <c r="N70" s="95"/>
      <c r="O70" s="161"/>
      <c r="P70" s="22"/>
      <c r="Q70" s="82"/>
      <c r="R70" s="108">
        <f t="shared" si="28"/>
        <v>3837</v>
      </c>
      <c r="S70" s="120"/>
    </row>
    <row r="71" spans="1:19" ht="12.75">
      <c r="A71" s="6"/>
      <c r="B71" s="22"/>
      <c r="C71" s="68"/>
      <c r="D71" s="90"/>
      <c r="E71" s="68"/>
      <c r="F71" s="22"/>
      <c r="G71" s="82"/>
      <c r="H71" s="112"/>
      <c r="I71" s="144"/>
      <c r="J71" s="133"/>
      <c r="K71" s="37" t="s">
        <v>10</v>
      </c>
      <c r="L71" s="35">
        <f>3000*0+21256/2*2-L50-9256*0+3000-12256+2012/2012*(3612/3612*5000+3688)-20688+(8000+1490*12*(50%*0+60%)+60*0+272-50/50*17000*0-60/60*19000*0)</f>
        <v>19000</v>
      </c>
      <c r="M71" s="79"/>
      <c r="N71" s="87"/>
      <c r="O71" s="159">
        <v>-700</v>
      </c>
      <c r="P71" s="25">
        <v>-4631</v>
      </c>
      <c r="Q71" s="207">
        <f>3417+906.2</f>
        <v>4323.2</v>
      </c>
      <c r="R71" s="108">
        <f t="shared" si="28"/>
        <v>17992.2</v>
      </c>
      <c r="S71" s="151">
        <v>18421</v>
      </c>
    </row>
    <row r="72" spans="1:19" ht="12.75" hidden="1">
      <c r="A72" s="6"/>
      <c r="B72" s="22"/>
      <c r="C72" s="68"/>
      <c r="D72" s="90"/>
      <c r="E72" s="68"/>
      <c r="F72" s="22"/>
      <c r="G72" s="82"/>
      <c r="H72" s="112"/>
      <c r="I72" s="144"/>
      <c r="J72" s="133"/>
      <c r="K72" s="37" t="s">
        <v>52</v>
      </c>
      <c r="L72" s="35"/>
      <c r="M72" s="79"/>
      <c r="N72" s="87"/>
      <c r="O72" s="159"/>
      <c r="P72" s="25"/>
      <c r="Q72" s="82"/>
      <c r="R72" s="108">
        <f t="shared" si="28"/>
        <v>0</v>
      </c>
      <c r="S72" s="117"/>
    </row>
    <row r="73" spans="1:19" ht="12.75" hidden="1">
      <c r="A73" s="6"/>
      <c r="B73" s="22"/>
      <c r="C73" s="68"/>
      <c r="D73" s="90"/>
      <c r="E73" s="68"/>
      <c r="F73" s="22"/>
      <c r="G73" s="82"/>
      <c r="H73" s="112"/>
      <c r="I73" s="144"/>
      <c r="J73" s="133"/>
      <c r="K73" s="64"/>
      <c r="L73" s="39"/>
      <c r="M73" s="79"/>
      <c r="N73" s="87"/>
      <c r="O73" s="159"/>
      <c r="P73" s="25"/>
      <c r="Q73" s="82"/>
      <c r="R73" s="108">
        <f t="shared" si="28"/>
        <v>0</v>
      </c>
      <c r="S73" s="117"/>
    </row>
    <row r="74" spans="1:19" ht="12.75">
      <c r="A74" s="6"/>
      <c r="B74" s="22"/>
      <c r="C74" s="68"/>
      <c r="D74" s="90"/>
      <c r="E74" s="68"/>
      <c r="F74" s="22"/>
      <c r="G74" s="82"/>
      <c r="H74" s="112"/>
      <c r="I74" s="144"/>
      <c r="J74" s="133"/>
      <c r="K74" s="191" t="s">
        <v>101</v>
      </c>
      <c r="L74" s="192"/>
      <c r="M74" s="79">
        <v>-317.9</v>
      </c>
      <c r="N74" s="87"/>
      <c r="O74" s="159"/>
      <c r="P74" s="25"/>
      <c r="Q74" s="82"/>
      <c r="R74" s="108">
        <f t="shared" si="28"/>
        <v>-317.9</v>
      </c>
      <c r="S74" s="117"/>
    </row>
    <row r="75" spans="1:19" ht="12.75">
      <c r="A75" s="8" t="s">
        <v>39</v>
      </c>
      <c r="B75" s="1">
        <f aca="true" t="shared" si="29" ref="B75:I75">SUM(B66:B74)</f>
        <v>0</v>
      </c>
      <c r="C75" s="67">
        <f t="shared" si="29"/>
        <v>0</v>
      </c>
      <c r="D75" s="88">
        <f t="shared" si="29"/>
        <v>0</v>
      </c>
      <c r="E75" s="66">
        <f t="shared" si="29"/>
        <v>0</v>
      </c>
      <c r="F75" s="1">
        <f t="shared" si="29"/>
        <v>0</v>
      </c>
      <c r="G75" s="205">
        <f t="shared" si="29"/>
        <v>0</v>
      </c>
      <c r="H75" s="113">
        <f t="shared" si="29"/>
        <v>0</v>
      </c>
      <c r="I75" s="145">
        <f t="shared" si="29"/>
        <v>0</v>
      </c>
      <c r="J75" s="130"/>
      <c r="K75" s="23"/>
      <c r="L75" s="27">
        <f aca="true" t="shared" si="30" ref="L75:R75">SUM(L66:L74)</f>
        <v>66711</v>
      </c>
      <c r="M75" s="67">
        <f t="shared" si="30"/>
        <v>3519.1</v>
      </c>
      <c r="N75" s="67">
        <f t="shared" si="30"/>
        <v>0</v>
      </c>
      <c r="O75" s="66">
        <f t="shared" si="30"/>
        <v>0</v>
      </c>
      <c r="P75" s="1">
        <f t="shared" si="30"/>
        <v>-4031</v>
      </c>
      <c r="Q75" s="205">
        <f t="shared" si="30"/>
        <v>4427.2</v>
      </c>
      <c r="R75" s="113">
        <f t="shared" si="30"/>
        <v>70626.3</v>
      </c>
      <c r="S75" s="118">
        <f>SUM(S66:S74)</f>
        <v>70621</v>
      </c>
    </row>
    <row r="76" spans="1:19" ht="12.75">
      <c r="A76" s="6"/>
      <c r="B76" s="28"/>
      <c r="C76" s="70"/>
      <c r="D76" s="92"/>
      <c r="E76" s="75"/>
      <c r="F76" s="28"/>
      <c r="G76" s="82"/>
      <c r="H76" s="114"/>
      <c r="I76" s="148"/>
      <c r="J76" s="133"/>
      <c r="K76" s="23"/>
      <c r="L76" s="53"/>
      <c r="M76" s="75"/>
      <c r="N76" s="75"/>
      <c r="O76" s="75"/>
      <c r="P76" s="29"/>
      <c r="Q76" s="82"/>
      <c r="R76" s="114"/>
      <c r="S76" s="121"/>
    </row>
    <row r="77" spans="1:19" ht="13.5" thickBot="1">
      <c r="A77" s="10" t="s">
        <v>40</v>
      </c>
      <c r="B77" s="2">
        <f aca="true" t="shared" si="31" ref="B77:I77">SUM(B5:B76)/2</f>
        <v>84178</v>
      </c>
      <c r="C77" s="71">
        <f t="shared" si="31"/>
        <v>3837</v>
      </c>
      <c r="D77" s="93">
        <f t="shared" si="31"/>
        <v>997.6999999999998</v>
      </c>
      <c r="E77" s="185">
        <f t="shared" si="31"/>
        <v>665.7999999999998</v>
      </c>
      <c r="F77" s="2">
        <f t="shared" si="31"/>
        <v>-3901.000000000001</v>
      </c>
      <c r="G77" s="208">
        <f t="shared" si="31"/>
        <v>4565.699999999998</v>
      </c>
      <c r="H77" s="109">
        <f t="shared" si="31"/>
        <v>90343.2</v>
      </c>
      <c r="I77" s="149">
        <f t="shared" si="31"/>
        <v>88006</v>
      </c>
      <c r="J77" s="141"/>
      <c r="K77" s="54"/>
      <c r="L77" s="55">
        <f aca="true" t="shared" si="32" ref="L77:R77">SUM(L5:L76)/2</f>
        <v>84178</v>
      </c>
      <c r="M77" s="71">
        <f t="shared" si="32"/>
        <v>3519.1</v>
      </c>
      <c r="N77" s="71">
        <f t="shared" si="32"/>
        <v>997.7</v>
      </c>
      <c r="O77" s="185">
        <f t="shared" si="32"/>
        <v>665.8</v>
      </c>
      <c r="P77" s="2">
        <f t="shared" si="32"/>
        <v>-3901</v>
      </c>
      <c r="Q77" s="208">
        <f t="shared" si="32"/>
        <v>4565.7</v>
      </c>
      <c r="R77" s="109">
        <f t="shared" si="32"/>
        <v>90025.3</v>
      </c>
      <c r="S77" s="122">
        <f>SUM(S5:S76)/2</f>
        <v>88006</v>
      </c>
    </row>
    <row r="78" spans="1:19" s="13" customFormat="1" ht="14.25" thickBot="1" thickTop="1">
      <c r="A78" s="12"/>
      <c r="B78" s="57"/>
      <c r="C78" s="72">
        <f>3837-C77</f>
        <v>0</v>
      </c>
      <c r="D78" s="89"/>
      <c r="E78" s="72"/>
      <c r="F78" s="56"/>
      <c r="G78" s="209"/>
      <c r="H78" s="105"/>
      <c r="I78" s="105"/>
      <c r="J78" s="58"/>
      <c r="K78" s="59"/>
      <c r="L78" s="59"/>
      <c r="M78" s="72">
        <f>3837-317.9-M77</f>
        <v>0</v>
      </c>
      <c r="N78" s="89"/>
      <c r="O78" s="72"/>
      <c r="P78" s="56"/>
      <c r="Q78" s="209"/>
      <c r="R78" s="105">
        <f>R77-H77</f>
        <v>-317.8999999999942</v>
      </c>
      <c r="S78" s="105"/>
    </row>
    <row r="79" spans="4:19" ht="13.5" thickBot="1">
      <c r="D79" s="89"/>
      <c r="E79" s="72"/>
      <c r="F79" s="60"/>
      <c r="G79" s="214"/>
      <c r="K79" s="65" t="s">
        <v>63</v>
      </c>
      <c r="L79" s="61">
        <f aca="true" t="shared" si="33" ref="L79:S79">L77-B77</f>
        <v>0</v>
      </c>
      <c r="M79" s="61">
        <f t="shared" si="33"/>
        <v>-317.9000000000001</v>
      </c>
      <c r="N79" s="61">
        <f t="shared" si="33"/>
        <v>0</v>
      </c>
      <c r="O79" s="193">
        <f t="shared" si="33"/>
        <v>0</v>
      </c>
      <c r="P79" s="61">
        <f t="shared" si="33"/>
        <v>0</v>
      </c>
      <c r="Q79" s="103">
        <f t="shared" si="33"/>
        <v>0</v>
      </c>
      <c r="R79" s="62">
        <f t="shared" si="33"/>
        <v>-317.8999999999942</v>
      </c>
      <c r="S79" s="110">
        <f t="shared" si="33"/>
        <v>0</v>
      </c>
    </row>
    <row r="80" spans="3:15" ht="12.75">
      <c r="C80" s="102"/>
      <c r="D80" s="89"/>
      <c r="E80" s="72"/>
      <c r="M80" s="72"/>
      <c r="N80" s="89"/>
      <c r="O80" s="72"/>
    </row>
    <row r="81" spans="2:18" ht="12.75">
      <c r="B81" s="11"/>
      <c r="C81" s="11"/>
      <c r="D81" s="11"/>
      <c r="E81" s="11"/>
      <c r="F81" s="11"/>
      <c r="G81" s="210"/>
      <c r="H81" s="11"/>
      <c r="I81" s="11"/>
      <c r="J81" s="11"/>
      <c r="K81" s="11"/>
      <c r="L81" s="11"/>
      <c r="M81" s="11"/>
      <c r="N81" s="11"/>
      <c r="O81" s="11"/>
      <c r="P81" s="11"/>
      <c r="Q81" s="210"/>
      <c r="R81" s="11"/>
    </row>
    <row r="82" spans="1:6" ht="16.5" thickBot="1">
      <c r="A82" s="158" t="s">
        <v>123</v>
      </c>
      <c r="B82" s="186"/>
      <c r="C82" s="187"/>
      <c r="D82" s="188"/>
      <c r="E82" s="187"/>
      <c r="F82" s="189"/>
    </row>
    <row r="83" spans="1:19" ht="13.5" thickTop="1">
      <c r="A83" s="4" t="s">
        <v>105</v>
      </c>
      <c r="B83" s="172"/>
      <c r="C83" s="173">
        <f>5/5*4000</f>
        <v>4000</v>
      </c>
      <c r="D83" s="174"/>
      <c r="E83" s="190"/>
      <c r="F83" s="175"/>
      <c r="G83" s="211"/>
      <c r="H83" s="176">
        <f aca="true" t="shared" si="34" ref="H83:H117">SUM(B83:G83)</f>
        <v>4000</v>
      </c>
      <c r="I83" s="177"/>
      <c r="J83" s="178"/>
      <c r="K83" s="179" t="s">
        <v>81</v>
      </c>
      <c r="L83" s="180"/>
      <c r="M83" s="173">
        <f>5/5*4000</f>
        <v>4000</v>
      </c>
      <c r="N83" s="174"/>
      <c r="O83" s="190"/>
      <c r="P83" s="175"/>
      <c r="Q83" s="211"/>
      <c r="R83" s="176">
        <f aca="true" t="shared" si="35" ref="R83:R120">SUM(L83:Q83)</f>
        <v>4000</v>
      </c>
      <c r="S83" s="181"/>
    </row>
    <row r="84" spans="1:19" ht="12.75">
      <c r="A84" s="6" t="s">
        <v>67</v>
      </c>
      <c r="B84" s="22"/>
      <c r="C84" s="79">
        <v>4500</v>
      </c>
      <c r="D84" s="87"/>
      <c r="E84" s="159"/>
      <c r="F84" s="25"/>
      <c r="G84" s="82"/>
      <c r="H84" s="108">
        <f t="shared" si="34"/>
        <v>4500</v>
      </c>
      <c r="I84" s="143"/>
      <c r="J84" s="127"/>
      <c r="K84" s="63" t="s">
        <v>64</v>
      </c>
      <c r="L84" s="26"/>
      <c r="M84" s="70">
        <f>1/1*4500</f>
        <v>4500</v>
      </c>
      <c r="N84" s="70"/>
      <c r="O84" s="75"/>
      <c r="P84" s="29"/>
      <c r="Q84" s="82"/>
      <c r="R84" s="160">
        <f t="shared" si="35"/>
        <v>4500</v>
      </c>
      <c r="S84" s="116"/>
    </row>
    <row r="85" spans="1:19" s="101" customFormat="1" ht="12.75">
      <c r="A85" s="6" t="s">
        <v>96</v>
      </c>
      <c r="B85" s="22"/>
      <c r="C85" s="79">
        <f>1486.9</f>
        <v>1486.9</v>
      </c>
      <c r="D85" s="95"/>
      <c r="E85" s="161"/>
      <c r="F85" s="22"/>
      <c r="G85" s="82"/>
      <c r="H85" s="112">
        <f t="shared" si="34"/>
        <v>1486.9</v>
      </c>
      <c r="I85" s="144"/>
      <c r="J85" s="127"/>
      <c r="K85" s="37" t="s">
        <v>94</v>
      </c>
      <c r="L85" s="26"/>
      <c r="M85" s="79">
        <f>C85</f>
        <v>1486.9</v>
      </c>
      <c r="N85" s="95"/>
      <c r="O85" s="161"/>
      <c r="P85" s="22"/>
      <c r="Q85" s="82"/>
      <c r="R85" s="112">
        <f t="shared" si="35"/>
        <v>1486.9</v>
      </c>
      <c r="S85" s="116"/>
    </row>
    <row r="86" spans="1:19" s="101" customFormat="1" ht="12.75">
      <c r="A86" s="6" t="s">
        <v>97</v>
      </c>
      <c r="B86" s="22"/>
      <c r="C86" s="79">
        <v>2711.3</v>
      </c>
      <c r="D86" s="95"/>
      <c r="E86" s="161"/>
      <c r="F86" s="22"/>
      <c r="G86" s="82"/>
      <c r="H86" s="112">
        <f t="shared" si="34"/>
        <v>2711.3</v>
      </c>
      <c r="I86" s="144"/>
      <c r="J86" s="128"/>
      <c r="K86" s="37" t="s">
        <v>94</v>
      </c>
      <c r="L86" s="26"/>
      <c r="M86" s="79">
        <f>C86</f>
        <v>2711.3</v>
      </c>
      <c r="N86" s="95"/>
      <c r="O86" s="161"/>
      <c r="P86" s="22"/>
      <c r="Q86" s="82"/>
      <c r="R86" s="112">
        <f t="shared" si="35"/>
        <v>2711.3</v>
      </c>
      <c r="S86" s="116"/>
    </row>
    <row r="87" spans="1:19" s="101" customFormat="1" ht="12.75">
      <c r="A87" s="9" t="s">
        <v>92</v>
      </c>
      <c r="B87" s="32"/>
      <c r="C87" s="79">
        <f>577.1*0+218.4</f>
        <v>218.4</v>
      </c>
      <c r="D87" s="95"/>
      <c r="E87" s="161"/>
      <c r="F87" s="22"/>
      <c r="G87" s="82"/>
      <c r="H87" s="112">
        <f t="shared" si="34"/>
        <v>218.4</v>
      </c>
      <c r="I87" s="144"/>
      <c r="J87" s="128"/>
      <c r="K87" s="37" t="s">
        <v>78</v>
      </c>
      <c r="L87" s="26"/>
      <c r="M87" s="79">
        <f>C87</f>
        <v>218.4</v>
      </c>
      <c r="N87" s="95"/>
      <c r="O87" s="161"/>
      <c r="P87" s="22"/>
      <c r="Q87" s="82"/>
      <c r="R87" s="112">
        <f t="shared" si="35"/>
        <v>218.4</v>
      </c>
      <c r="S87" s="116"/>
    </row>
    <row r="88" spans="1:19" ht="12.75">
      <c r="A88" s="16" t="s">
        <v>90</v>
      </c>
      <c r="B88" s="32"/>
      <c r="C88" s="79">
        <f>82.5-55</f>
        <v>27.5</v>
      </c>
      <c r="D88" s="87"/>
      <c r="E88" s="159"/>
      <c r="F88" s="25"/>
      <c r="G88" s="82"/>
      <c r="H88" s="108">
        <f t="shared" si="34"/>
        <v>27.5</v>
      </c>
      <c r="I88" s="143"/>
      <c r="J88" s="131"/>
      <c r="K88" s="37" t="s">
        <v>78</v>
      </c>
      <c r="L88" s="26"/>
      <c r="M88" s="68"/>
      <c r="N88" s="68"/>
      <c r="O88" s="68"/>
      <c r="P88" s="22"/>
      <c r="Q88" s="82"/>
      <c r="R88" s="112">
        <f t="shared" si="35"/>
        <v>0</v>
      </c>
      <c r="S88" s="116"/>
    </row>
    <row r="89" spans="1:19" s="101" customFormat="1" ht="12.75">
      <c r="A89" s="16" t="s">
        <v>124</v>
      </c>
      <c r="B89" s="32"/>
      <c r="C89" s="79">
        <f>5.3+249.7</f>
        <v>255</v>
      </c>
      <c r="D89" s="87"/>
      <c r="E89" s="159"/>
      <c r="F89" s="25"/>
      <c r="G89" s="82"/>
      <c r="H89" s="108">
        <f t="shared" si="34"/>
        <v>255</v>
      </c>
      <c r="I89" s="143"/>
      <c r="J89" s="131"/>
      <c r="K89" s="37" t="s">
        <v>78</v>
      </c>
      <c r="L89" s="26"/>
      <c r="M89" s="68"/>
      <c r="N89" s="68"/>
      <c r="O89" s="68"/>
      <c r="P89" s="22"/>
      <c r="Q89" s="82"/>
      <c r="R89" s="112">
        <f t="shared" si="35"/>
        <v>0</v>
      </c>
      <c r="S89" s="116"/>
    </row>
    <row r="90" spans="1:19" ht="12.75">
      <c r="A90" s="9" t="s">
        <v>74</v>
      </c>
      <c r="B90" s="32"/>
      <c r="C90" s="79">
        <f>3/3*35</f>
        <v>35</v>
      </c>
      <c r="D90" s="95"/>
      <c r="E90" s="161"/>
      <c r="F90" s="22"/>
      <c r="G90" s="82"/>
      <c r="H90" s="112">
        <f t="shared" si="34"/>
        <v>35</v>
      </c>
      <c r="I90" s="144"/>
      <c r="J90" s="128"/>
      <c r="K90" s="37" t="s">
        <v>78</v>
      </c>
      <c r="L90" s="26"/>
      <c r="M90" s="79">
        <f>3/3*35</f>
        <v>35</v>
      </c>
      <c r="N90" s="95"/>
      <c r="O90" s="161"/>
      <c r="P90" s="22"/>
      <c r="Q90" s="82"/>
      <c r="R90" s="112">
        <f t="shared" si="35"/>
        <v>35</v>
      </c>
      <c r="S90" s="116"/>
    </row>
    <row r="91" spans="1:19" ht="12.75">
      <c r="A91" s="9" t="s">
        <v>77</v>
      </c>
      <c r="B91" s="32"/>
      <c r="C91" s="79">
        <f>4/4*63</f>
        <v>63</v>
      </c>
      <c r="D91" s="95"/>
      <c r="E91" s="161"/>
      <c r="F91" s="22"/>
      <c r="G91" s="82"/>
      <c r="H91" s="112">
        <f t="shared" si="34"/>
        <v>63</v>
      </c>
      <c r="I91" s="144"/>
      <c r="J91" s="128"/>
      <c r="K91" s="37" t="s">
        <v>78</v>
      </c>
      <c r="L91" s="26"/>
      <c r="M91" s="79">
        <f>4/4*63</f>
        <v>63</v>
      </c>
      <c r="N91" s="95"/>
      <c r="O91" s="161"/>
      <c r="P91" s="22"/>
      <c r="Q91" s="82"/>
      <c r="R91" s="112">
        <f t="shared" si="35"/>
        <v>63</v>
      </c>
      <c r="S91" s="116"/>
    </row>
    <row r="92" spans="1:19" ht="12.75">
      <c r="A92" s="9" t="s">
        <v>125</v>
      </c>
      <c r="B92" s="32"/>
      <c r="C92" s="79">
        <f>5/5*261.4+9/9*284.9</f>
        <v>546.3</v>
      </c>
      <c r="D92" s="95"/>
      <c r="E92" s="161"/>
      <c r="F92" s="22"/>
      <c r="G92" s="82"/>
      <c r="H92" s="112">
        <f t="shared" si="34"/>
        <v>546.3</v>
      </c>
      <c r="I92" s="144"/>
      <c r="J92" s="128"/>
      <c r="K92" s="37" t="s">
        <v>78</v>
      </c>
      <c r="L92" s="26"/>
      <c r="M92" s="79">
        <f>C92</f>
        <v>546.3</v>
      </c>
      <c r="N92" s="95"/>
      <c r="O92" s="161"/>
      <c r="P92" s="22"/>
      <c r="Q92" s="82"/>
      <c r="R92" s="112">
        <f t="shared" si="35"/>
        <v>546.3</v>
      </c>
      <c r="S92" s="116"/>
    </row>
    <row r="93" spans="1:19" s="101" customFormat="1" ht="12.75">
      <c r="A93" s="9" t="s">
        <v>91</v>
      </c>
      <c r="B93" s="32"/>
      <c r="C93" s="79">
        <f>577.1*0+302.7</f>
        <v>302.7</v>
      </c>
      <c r="D93" s="95"/>
      <c r="E93" s="161"/>
      <c r="F93" s="22"/>
      <c r="G93" s="82"/>
      <c r="H93" s="112">
        <f t="shared" si="34"/>
        <v>302.7</v>
      </c>
      <c r="I93" s="144"/>
      <c r="J93" s="128"/>
      <c r="K93" s="37" t="s">
        <v>78</v>
      </c>
      <c r="L93" s="26"/>
      <c r="M93" s="79">
        <f>C93</f>
        <v>302.7</v>
      </c>
      <c r="N93" s="95"/>
      <c r="O93" s="161"/>
      <c r="P93" s="22"/>
      <c r="Q93" s="82"/>
      <c r="R93" s="112">
        <f t="shared" si="35"/>
        <v>302.7</v>
      </c>
      <c r="S93" s="116"/>
    </row>
    <row r="94" spans="1:19" ht="12.75">
      <c r="A94" s="6" t="s">
        <v>89</v>
      </c>
      <c r="B94" s="32"/>
      <c r="C94" s="79">
        <v>55</v>
      </c>
      <c r="D94" s="87"/>
      <c r="E94" s="159"/>
      <c r="F94" s="25"/>
      <c r="G94" s="82"/>
      <c r="H94" s="108">
        <f t="shared" si="34"/>
        <v>55</v>
      </c>
      <c r="I94" s="143"/>
      <c r="J94" s="131"/>
      <c r="K94" s="37" t="s">
        <v>78</v>
      </c>
      <c r="L94" s="26"/>
      <c r="M94" s="68"/>
      <c r="N94" s="68"/>
      <c r="O94" s="68"/>
      <c r="P94" s="22"/>
      <c r="Q94" s="82"/>
      <c r="R94" s="112">
        <f t="shared" si="35"/>
        <v>0</v>
      </c>
      <c r="S94" s="116"/>
    </row>
    <row r="95" spans="1:19" s="101" customFormat="1" ht="12.75">
      <c r="A95" s="80" t="s">
        <v>142</v>
      </c>
      <c r="B95" s="32"/>
      <c r="C95" s="81">
        <f>74.6+46.8+3112/3112*89.5</f>
        <v>210.89999999999998</v>
      </c>
      <c r="D95" s="87"/>
      <c r="E95" s="159"/>
      <c r="F95" s="25"/>
      <c r="G95" s="82"/>
      <c r="H95" s="108">
        <f t="shared" si="34"/>
        <v>210.89999999999998</v>
      </c>
      <c r="I95" s="143"/>
      <c r="J95" s="131"/>
      <c r="K95" s="37" t="s">
        <v>78</v>
      </c>
      <c r="L95" s="26"/>
      <c r="M95" s="68"/>
      <c r="N95" s="68"/>
      <c r="O95" s="68"/>
      <c r="P95" s="22"/>
      <c r="Q95" s="82"/>
      <c r="R95" s="112">
        <f t="shared" si="35"/>
        <v>0</v>
      </c>
      <c r="S95" s="116"/>
    </row>
    <row r="96" spans="1:19" s="101" customFormat="1" ht="12.75">
      <c r="A96" s="9" t="s">
        <v>95</v>
      </c>
      <c r="B96" s="32"/>
      <c r="C96" s="79">
        <v>4000</v>
      </c>
      <c r="D96" s="95"/>
      <c r="E96" s="161"/>
      <c r="F96" s="22"/>
      <c r="G96" s="82"/>
      <c r="H96" s="112">
        <f t="shared" si="34"/>
        <v>4000</v>
      </c>
      <c r="I96" s="144"/>
      <c r="J96" s="128"/>
      <c r="K96" s="37" t="s">
        <v>78</v>
      </c>
      <c r="L96" s="26"/>
      <c r="M96" s="79">
        <f>C96</f>
        <v>4000</v>
      </c>
      <c r="N96" s="95"/>
      <c r="O96" s="161"/>
      <c r="P96" s="22"/>
      <c r="Q96" s="82"/>
      <c r="R96" s="112">
        <f t="shared" si="35"/>
        <v>4000</v>
      </c>
      <c r="S96" s="116"/>
    </row>
    <row r="97" spans="1:19" s="101" customFormat="1" ht="12.75">
      <c r="A97" s="9" t="s">
        <v>93</v>
      </c>
      <c r="B97" s="32"/>
      <c r="C97" s="79">
        <v>56</v>
      </c>
      <c r="D97" s="87"/>
      <c r="E97" s="159"/>
      <c r="F97" s="25"/>
      <c r="G97" s="82"/>
      <c r="H97" s="108">
        <f t="shared" si="34"/>
        <v>56</v>
      </c>
      <c r="I97" s="143"/>
      <c r="J97" s="131"/>
      <c r="K97" s="37" t="s">
        <v>78</v>
      </c>
      <c r="L97" s="26"/>
      <c r="M97" s="79">
        <f>C97</f>
        <v>56</v>
      </c>
      <c r="N97" s="95"/>
      <c r="O97" s="161"/>
      <c r="P97" s="22"/>
      <c r="Q97" s="82"/>
      <c r="R97" s="112">
        <f t="shared" si="35"/>
        <v>56</v>
      </c>
      <c r="S97" s="116"/>
    </row>
    <row r="98" spans="1:19" ht="12.75">
      <c r="A98" s="6" t="s">
        <v>71</v>
      </c>
      <c r="B98" s="32"/>
      <c r="C98" s="79">
        <v>41.2</v>
      </c>
      <c r="D98" s="87"/>
      <c r="E98" s="159"/>
      <c r="F98" s="25"/>
      <c r="G98" s="82"/>
      <c r="H98" s="108">
        <f t="shared" si="34"/>
        <v>41.2</v>
      </c>
      <c r="I98" s="143"/>
      <c r="J98" s="131"/>
      <c r="K98" s="37" t="s">
        <v>78</v>
      </c>
      <c r="L98" s="26"/>
      <c r="M98" s="68"/>
      <c r="N98" s="90"/>
      <c r="O98" s="68"/>
      <c r="P98" s="22"/>
      <c r="Q98" s="82"/>
      <c r="R98" s="112">
        <f t="shared" si="35"/>
        <v>0</v>
      </c>
      <c r="S98" s="116"/>
    </row>
    <row r="99" spans="1:19" s="101" customFormat="1" ht="12.75">
      <c r="A99" s="6" t="s">
        <v>143</v>
      </c>
      <c r="B99" s="32"/>
      <c r="C99" s="81">
        <f>91+148.2+3112/3112*65.5</f>
        <v>304.7</v>
      </c>
      <c r="D99" s="87"/>
      <c r="E99" s="159"/>
      <c r="F99" s="25"/>
      <c r="G99" s="82"/>
      <c r="H99" s="108">
        <f t="shared" si="34"/>
        <v>304.7</v>
      </c>
      <c r="I99" s="143"/>
      <c r="J99" s="131"/>
      <c r="K99" s="37" t="s">
        <v>78</v>
      </c>
      <c r="L99" s="26"/>
      <c r="M99" s="68"/>
      <c r="N99" s="90"/>
      <c r="O99" s="68"/>
      <c r="P99" s="22"/>
      <c r="Q99" s="82"/>
      <c r="R99" s="112">
        <f t="shared" si="35"/>
        <v>0</v>
      </c>
      <c r="S99" s="116"/>
    </row>
    <row r="100" spans="1:19" s="101" customFormat="1" ht="12.75">
      <c r="A100" s="6" t="s">
        <v>144</v>
      </c>
      <c r="B100" s="32"/>
      <c r="C100" s="81">
        <f>91+148.3+3112/3112*65.5</f>
        <v>304.8</v>
      </c>
      <c r="D100" s="87"/>
      <c r="E100" s="159"/>
      <c r="F100" s="25"/>
      <c r="G100" s="82"/>
      <c r="H100" s="108">
        <f t="shared" si="34"/>
        <v>304.8</v>
      </c>
      <c r="I100" s="143"/>
      <c r="J100" s="131"/>
      <c r="K100" s="37" t="s">
        <v>78</v>
      </c>
      <c r="L100" s="26"/>
      <c r="M100" s="68"/>
      <c r="N100" s="90"/>
      <c r="O100" s="68"/>
      <c r="P100" s="22"/>
      <c r="Q100" s="82"/>
      <c r="R100" s="112">
        <f t="shared" si="35"/>
        <v>0</v>
      </c>
      <c r="S100" s="116"/>
    </row>
    <row r="101" spans="1:19" s="101" customFormat="1" ht="12.75">
      <c r="A101" s="6" t="s">
        <v>126</v>
      </c>
      <c r="B101" s="32"/>
      <c r="C101" s="79">
        <f>16.4</f>
        <v>16.4</v>
      </c>
      <c r="D101" s="87"/>
      <c r="E101" s="159"/>
      <c r="F101" s="25"/>
      <c r="G101" s="82"/>
      <c r="H101" s="108">
        <f t="shared" si="34"/>
        <v>16.4</v>
      </c>
      <c r="I101" s="143"/>
      <c r="J101" s="131"/>
      <c r="K101" s="37" t="s">
        <v>78</v>
      </c>
      <c r="L101" s="26"/>
      <c r="M101" s="68"/>
      <c r="N101" s="90"/>
      <c r="O101" s="68"/>
      <c r="P101" s="22"/>
      <c r="Q101" s="82"/>
      <c r="R101" s="112">
        <f t="shared" si="35"/>
        <v>0</v>
      </c>
      <c r="S101" s="116"/>
    </row>
    <row r="102" spans="1:19" s="101" customFormat="1" ht="12.75">
      <c r="A102" s="6" t="s">
        <v>43</v>
      </c>
      <c r="B102" s="45"/>
      <c r="C102" s="79">
        <v>50</v>
      </c>
      <c r="D102" s="87"/>
      <c r="E102" s="159"/>
      <c r="F102" s="25"/>
      <c r="G102" s="82"/>
      <c r="H102" s="108">
        <f t="shared" si="34"/>
        <v>50</v>
      </c>
      <c r="I102" s="143"/>
      <c r="J102" s="131"/>
      <c r="K102" s="162" t="s">
        <v>47</v>
      </c>
      <c r="L102" s="46"/>
      <c r="M102" s="79">
        <f>C102</f>
        <v>50</v>
      </c>
      <c r="N102" s="87"/>
      <c r="O102" s="159"/>
      <c r="P102" s="25"/>
      <c r="Q102" s="82"/>
      <c r="R102" s="108">
        <f t="shared" si="35"/>
        <v>50</v>
      </c>
      <c r="S102" s="116"/>
    </row>
    <row r="103" spans="1:19" s="101" customFormat="1" ht="12.75">
      <c r="A103" s="6" t="s">
        <v>127</v>
      </c>
      <c r="B103" s="32"/>
      <c r="C103" s="79">
        <v>48.7</v>
      </c>
      <c r="D103" s="87"/>
      <c r="E103" s="159"/>
      <c r="F103" s="25"/>
      <c r="G103" s="82"/>
      <c r="H103" s="108">
        <f t="shared" si="34"/>
        <v>48.7</v>
      </c>
      <c r="I103" s="143"/>
      <c r="J103" s="131"/>
      <c r="K103" s="37" t="s">
        <v>78</v>
      </c>
      <c r="L103" s="26"/>
      <c r="M103" s="68"/>
      <c r="N103" s="90"/>
      <c r="O103" s="68"/>
      <c r="P103" s="22"/>
      <c r="Q103" s="82"/>
      <c r="R103" s="112">
        <f t="shared" si="35"/>
        <v>0</v>
      </c>
      <c r="S103" s="116"/>
    </row>
    <row r="104" spans="1:19" s="101" customFormat="1" ht="12.75">
      <c r="A104" s="97" t="s">
        <v>100</v>
      </c>
      <c r="B104" s="45"/>
      <c r="C104" s="79">
        <f>210.3+280.4+10/10*210.3</f>
        <v>701</v>
      </c>
      <c r="D104" s="95"/>
      <c r="E104" s="161"/>
      <c r="F104" s="22"/>
      <c r="G104" s="82"/>
      <c r="H104" s="112">
        <f t="shared" si="34"/>
        <v>701</v>
      </c>
      <c r="I104" s="144"/>
      <c r="J104" s="131"/>
      <c r="K104" s="37" t="s">
        <v>76</v>
      </c>
      <c r="L104" s="35"/>
      <c r="M104" s="79">
        <f>C104</f>
        <v>701</v>
      </c>
      <c r="N104" s="95"/>
      <c r="O104" s="161"/>
      <c r="P104" s="22"/>
      <c r="Q104" s="82"/>
      <c r="R104" s="112">
        <f t="shared" si="35"/>
        <v>701</v>
      </c>
      <c r="S104" s="116"/>
    </row>
    <row r="105" spans="1:19" ht="12.75">
      <c r="A105" s="97" t="s">
        <v>79</v>
      </c>
      <c r="B105" s="45"/>
      <c r="C105" s="81">
        <f>4/4*224.1+10/10*-60</f>
        <v>164.1</v>
      </c>
      <c r="D105" s="95"/>
      <c r="E105" s="161"/>
      <c r="F105" s="22"/>
      <c r="G105" s="82"/>
      <c r="H105" s="112">
        <f t="shared" si="34"/>
        <v>164.1</v>
      </c>
      <c r="I105" s="144"/>
      <c r="J105" s="131"/>
      <c r="K105" s="37" t="s">
        <v>78</v>
      </c>
      <c r="L105" s="46"/>
      <c r="M105" s="81">
        <f>4/4*224.1+10/10*-60</f>
        <v>164.1</v>
      </c>
      <c r="N105" s="95"/>
      <c r="O105" s="161"/>
      <c r="P105" s="22"/>
      <c r="Q105" s="82"/>
      <c r="R105" s="112">
        <f t="shared" si="35"/>
        <v>164.1</v>
      </c>
      <c r="S105" s="116"/>
    </row>
    <row r="106" spans="1:19" ht="12.75">
      <c r="A106" s="16" t="s">
        <v>128</v>
      </c>
      <c r="B106" s="45"/>
      <c r="C106" s="81">
        <f>3/3*336-4/4*C135+72+11/11*24+3112/3112*32</f>
        <v>464</v>
      </c>
      <c r="D106" s="95"/>
      <c r="E106" s="161"/>
      <c r="F106" s="22"/>
      <c r="G106" s="82"/>
      <c r="H106" s="112">
        <f t="shared" si="34"/>
        <v>464</v>
      </c>
      <c r="I106" s="144"/>
      <c r="J106" s="131"/>
      <c r="K106" s="37" t="s">
        <v>76</v>
      </c>
      <c r="L106" s="46"/>
      <c r="M106" s="79">
        <f>C106</f>
        <v>464</v>
      </c>
      <c r="N106" s="95"/>
      <c r="O106" s="161"/>
      <c r="P106" s="22"/>
      <c r="Q106" s="82"/>
      <c r="R106" s="112">
        <f t="shared" si="35"/>
        <v>464</v>
      </c>
      <c r="S106" s="116"/>
    </row>
    <row r="107" spans="1:19" s="101" customFormat="1" ht="12.75">
      <c r="A107" s="6" t="s">
        <v>88</v>
      </c>
      <c r="B107" s="45"/>
      <c r="C107" s="79">
        <f>1316.3+235.2</f>
        <v>1551.5</v>
      </c>
      <c r="D107" s="87"/>
      <c r="E107" s="159"/>
      <c r="F107" s="25"/>
      <c r="G107" s="82"/>
      <c r="H107" s="108">
        <f t="shared" si="34"/>
        <v>1551.5</v>
      </c>
      <c r="I107" s="143"/>
      <c r="J107" s="133"/>
      <c r="K107" s="37" t="s">
        <v>76</v>
      </c>
      <c r="L107" s="35"/>
      <c r="M107" s="79">
        <f>C107</f>
        <v>1551.5</v>
      </c>
      <c r="N107" s="87"/>
      <c r="O107" s="159"/>
      <c r="P107" s="25"/>
      <c r="Q107" s="82"/>
      <c r="R107" s="108">
        <f t="shared" si="35"/>
        <v>1551.5</v>
      </c>
      <c r="S107" s="116"/>
    </row>
    <row r="108" spans="1:19" s="101" customFormat="1" ht="12.75">
      <c r="A108" s="6" t="s">
        <v>145</v>
      </c>
      <c r="B108" s="22"/>
      <c r="C108" s="82">
        <f>37+3112/3112*41.5</f>
        <v>78.5</v>
      </c>
      <c r="D108" s="95"/>
      <c r="E108" s="161"/>
      <c r="F108" s="22"/>
      <c r="G108" s="82"/>
      <c r="H108" s="112">
        <f t="shared" si="34"/>
        <v>78.5</v>
      </c>
      <c r="I108" s="144"/>
      <c r="J108" s="133"/>
      <c r="K108" s="37" t="s">
        <v>48</v>
      </c>
      <c r="L108" s="26"/>
      <c r="M108" s="79"/>
      <c r="N108" s="95"/>
      <c r="O108" s="161"/>
      <c r="P108" s="22"/>
      <c r="Q108" s="82"/>
      <c r="R108" s="112">
        <f t="shared" si="35"/>
        <v>0</v>
      </c>
      <c r="S108" s="116"/>
    </row>
    <row r="109" spans="1:19" ht="12.75">
      <c r="A109" s="6" t="s">
        <v>26</v>
      </c>
      <c r="B109" s="45"/>
      <c r="C109" s="79">
        <f>3/3*63</f>
        <v>63</v>
      </c>
      <c r="D109" s="87"/>
      <c r="E109" s="159"/>
      <c r="F109" s="25"/>
      <c r="G109" s="82"/>
      <c r="H109" s="108">
        <f t="shared" si="34"/>
        <v>63</v>
      </c>
      <c r="I109" s="143"/>
      <c r="J109" s="131"/>
      <c r="K109" s="63" t="s">
        <v>64</v>
      </c>
      <c r="L109" s="24"/>
      <c r="M109" s="79">
        <v>63</v>
      </c>
      <c r="N109" s="87"/>
      <c r="O109" s="159"/>
      <c r="P109" s="25"/>
      <c r="Q109" s="82"/>
      <c r="R109" s="108">
        <f t="shared" si="35"/>
        <v>63</v>
      </c>
      <c r="S109" s="116"/>
    </row>
    <row r="110" spans="1:19" ht="12.75">
      <c r="A110" s="98" t="s">
        <v>82</v>
      </c>
      <c r="B110" s="45"/>
      <c r="C110" s="79">
        <f>6/6*115</f>
        <v>115</v>
      </c>
      <c r="D110" s="95"/>
      <c r="E110" s="161"/>
      <c r="F110" s="22"/>
      <c r="G110" s="82"/>
      <c r="H110" s="112">
        <f t="shared" si="34"/>
        <v>115</v>
      </c>
      <c r="I110" s="144"/>
      <c r="J110" s="135"/>
      <c r="K110" s="37" t="s">
        <v>83</v>
      </c>
      <c r="L110" s="24"/>
      <c r="M110" s="79">
        <f>6/6*115</f>
        <v>115</v>
      </c>
      <c r="N110" s="95"/>
      <c r="O110" s="161"/>
      <c r="P110" s="22"/>
      <c r="Q110" s="82"/>
      <c r="R110" s="112">
        <f t="shared" si="35"/>
        <v>115</v>
      </c>
      <c r="S110" s="116"/>
    </row>
    <row r="111" spans="1:19" ht="12.75">
      <c r="A111" s="6" t="s">
        <v>72</v>
      </c>
      <c r="B111" s="22"/>
      <c r="C111" s="79">
        <f>41.3</f>
        <v>41.3</v>
      </c>
      <c r="D111" s="87"/>
      <c r="E111" s="159"/>
      <c r="F111" s="25"/>
      <c r="G111" s="82"/>
      <c r="H111" s="108">
        <f t="shared" si="34"/>
        <v>41.3</v>
      </c>
      <c r="I111" s="143"/>
      <c r="J111" s="133"/>
      <c r="K111" s="37" t="s">
        <v>78</v>
      </c>
      <c r="L111" s="26"/>
      <c r="M111" s="68"/>
      <c r="N111" s="68"/>
      <c r="O111" s="68"/>
      <c r="P111" s="22"/>
      <c r="Q111" s="82"/>
      <c r="R111" s="112">
        <f t="shared" si="35"/>
        <v>0</v>
      </c>
      <c r="S111" s="116"/>
    </row>
    <row r="112" spans="1:19" s="101" customFormat="1" ht="12.75">
      <c r="A112" s="6" t="s">
        <v>98</v>
      </c>
      <c r="B112" s="32"/>
      <c r="C112" s="79">
        <v>167.7</v>
      </c>
      <c r="D112" s="95"/>
      <c r="E112" s="161"/>
      <c r="F112" s="22"/>
      <c r="G112" s="82"/>
      <c r="H112" s="112">
        <f t="shared" si="34"/>
        <v>167.7</v>
      </c>
      <c r="I112" s="144"/>
      <c r="J112" s="128"/>
      <c r="K112" s="37" t="s">
        <v>99</v>
      </c>
      <c r="L112" s="26"/>
      <c r="M112" s="79">
        <f>C112</f>
        <v>167.7</v>
      </c>
      <c r="N112" s="95"/>
      <c r="O112" s="161"/>
      <c r="P112" s="22"/>
      <c r="Q112" s="82"/>
      <c r="R112" s="112">
        <f t="shared" si="35"/>
        <v>167.7</v>
      </c>
      <c r="S112" s="116"/>
    </row>
    <row r="113" spans="1:19" ht="12.75">
      <c r="A113" s="99" t="s">
        <v>129</v>
      </c>
      <c r="B113" s="50"/>
      <c r="C113" s="100">
        <f>4/4*(3/3*(663+166+60)+5/5*(15.1+19))+9/9*1155.9+2013/2013*525.2</f>
        <v>2604.2</v>
      </c>
      <c r="D113" s="87"/>
      <c r="E113" s="159"/>
      <c r="F113" s="25"/>
      <c r="G113" s="82"/>
      <c r="H113" s="108">
        <f t="shared" si="34"/>
        <v>2604.2</v>
      </c>
      <c r="I113" s="143"/>
      <c r="J113" s="130"/>
      <c r="K113" s="37" t="s">
        <v>76</v>
      </c>
      <c r="L113" s="35"/>
      <c r="M113" s="79">
        <f>C113</f>
        <v>2604.2</v>
      </c>
      <c r="N113" s="87"/>
      <c r="O113" s="159"/>
      <c r="P113" s="25"/>
      <c r="Q113" s="82"/>
      <c r="R113" s="108">
        <f t="shared" si="35"/>
        <v>2604.2</v>
      </c>
      <c r="S113" s="116"/>
    </row>
    <row r="114" spans="1:19" ht="12.75">
      <c r="A114" s="99" t="s">
        <v>80</v>
      </c>
      <c r="B114" s="50"/>
      <c r="C114" s="100">
        <f>5/5*85</f>
        <v>85</v>
      </c>
      <c r="D114" s="87"/>
      <c r="E114" s="159"/>
      <c r="F114" s="25"/>
      <c r="G114" s="82"/>
      <c r="H114" s="108">
        <f t="shared" si="34"/>
        <v>85</v>
      </c>
      <c r="I114" s="143"/>
      <c r="J114" s="130"/>
      <c r="K114" s="37" t="s">
        <v>78</v>
      </c>
      <c r="L114" s="35"/>
      <c r="M114" s="100">
        <f>5/5*85</f>
        <v>85</v>
      </c>
      <c r="N114" s="87"/>
      <c r="O114" s="159"/>
      <c r="P114" s="25"/>
      <c r="Q114" s="82"/>
      <c r="R114" s="108">
        <f t="shared" si="35"/>
        <v>85</v>
      </c>
      <c r="S114" s="116"/>
    </row>
    <row r="115" spans="1:19" s="101" customFormat="1" ht="12.75">
      <c r="A115" s="99" t="s">
        <v>87</v>
      </c>
      <c r="B115" s="50"/>
      <c r="C115" s="100">
        <f>246.2</f>
        <v>246.2</v>
      </c>
      <c r="D115" s="87"/>
      <c r="E115" s="159"/>
      <c r="F115" s="25"/>
      <c r="G115" s="82"/>
      <c r="H115" s="108">
        <f t="shared" si="34"/>
        <v>246.2</v>
      </c>
      <c r="I115" s="143"/>
      <c r="J115" s="130"/>
      <c r="K115" s="37" t="s">
        <v>76</v>
      </c>
      <c r="L115" s="35"/>
      <c r="M115" s="100">
        <f>246.2</f>
        <v>246.2</v>
      </c>
      <c r="N115" s="87"/>
      <c r="O115" s="159"/>
      <c r="P115" s="25"/>
      <c r="Q115" s="82"/>
      <c r="R115" s="108">
        <f t="shared" si="35"/>
        <v>246.2</v>
      </c>
      <c r="S115" s="116"/>
    </row>
    <row r="116" spans="1:19" s="101" customFormat="1" ht="12.75">
      <c r="A116" s="99" t="s">
        <v>104</v>
      </c>
      <c r="B116" s="50"/>
      <c r="C116" s="100">
        <f>10/10*206.4</f>
        <v>206.4</v>
      </c>
      <c r="D116" s="87"/>
      <c r="E116" s="159"/>
      <c r="F116" s="25"/>
      <c r="G116" s="82"/>
      <c r="H116" s="108">
        <f t="shared" si="34"/>
        <v>206.4</v>
      </c>
      <c r="I116" s="143"/>
      <c r="J116" s="130"/>
      <c r="K116" s="37" t="s">
        <v>76</v>
      </c>
      <c r="L116" s="35"/>
      <c r="M116" s="79">
        <f>C116</f>
        <v>206.4</v>
      </c>
      <c r="N116" s="87"/>
      <c r="O116" s="159"/>
      <c r="P116" s="25"/>
      <c r="Q116" s="82"/>
      <c r="R116" s="108">
        <f t="shared" si="35"/>
        <v>206.4</v>
      </c>
      <c r="S116" s="116"/>
    </row>
    <row r="117" spans="1:19" ht="12.75">
      <c r="A117" s="6" t="s">
        <v>121</v>
      </c>
      <c r="B117" s="22"/>
      <c r="C117" s="81">
        <f>369*0+11/11*1244.9+3112/3112*10.9</f>
        <v>1255.8000000000002</v>
      </c>
      <c r="D117" s="87"/>
      <c r="E117" s="159"/>
      <c r="F117" s="25"/>
      <c r="G117" s="82"/>
      <c r="H117" s="108">
        <f t="shared" si="34"/>
        <v>1255.8000000000002</v>
      </c>
      <c r="I117" s="143"/>
      <c r="J117" s="130"/>
      <c r="K117" s="37" t="s">
        <v>106</v>
      </c>
      <c r="L117" s="79"/>
      <c r="M117" s="81">
        <f>1244.9+3112/3112*10.9</f>
        <v>1255.8000000000002</v>
      </c>
      <c r="N117" s="87"/>
      <c r="O117" s="159"/>
      <c r="P117" s="25"/>
      <c r="Q117" s="82"/>
      <c r="R117" s="108">
        <f t="shared" si="35"/>
        <v>1255.8000000000002</v>
      </c>
      <c r="S117" s="116"/>
    </row>
    <row r="118" spans="1:19" ht="12.75">
      <c r="A118" s="7"/>
      <c r="B118" s="22"/>
      <c r="C118" s="196"/>
      <c r="D118" s="90"/>
      <c r="E118" s="68"/>
      <c r="F118" s="22"/>
      <c r="G118" s="82"/>
      <c r="H118" s="124"/>
      <c r="I118" s="144"/>
      <c r="J118" s="133"/>
      <c r="K118" s="37" t="s">
        <v>66</v>
      </c>
      <c r="L118" s="26"/>
      <c r="M118" s="79">
        <f>41.2+41.3+82.5</f>
        <v>165</v>
      </c>
      <c r="N118" s="87"/>
      <c r="O118" s="159"/>
      <c r="P118" s="25"/>
      <c r="Q118" s="82"/>
      <c r="R118" s="108">
        <f t="shared" si="35"/>
        <v>165</v>
      </c>
      <c r="S118" s="117"/>
    </row>
    <row r="119" spans="1:19" s="101" customFormat="1" ht="12.75">
      <c r="A119" s="6"/>
      <c r="B119" s="22"/>
      <c r="C119" s="68"/>
      <c r="D119" s="90"/>
      <c r="E119" s="68"/>
      <c r="F119" s="22"/>
      <c r="G119" s="82"/>
      <c r="H119" s="197"/>
      <c r="I119" s="144"/>
      <c r="J119" s="133"/>
      <c r="K119" s="37" t="s">
        <v>130</v>
      </c>
      <c r="L119" s="26"/>
      <c r="M119" s="81">
        <f>364+9/9*593+3112/3112*262</f>
        <v>1219</v>
      </c>
      <c r="N119" s="95"/>
      <c r="O119" s="161"/>
      <c r="P119" s="22"/>
      <c r="Q119" s="82"/>
      <c r="R119" s="112">
        <f t="shared" si="35"/>
        <v>1219</v>
      </c>
      <c r="S119" s="120"/>
    </row>
    <row r="120" spans="1:19" ht="12.75">
      <c r="A120" s="7" t="s">
        <v>141</v>
      </c>
      <c r="B120" s="22"/>
      <c r="C120" s="196">
        <f>3112/3112*6947</f>
        <v>6947</v>
      </c>
      <c r="D120" s="90"/>
      <c r="E120" s="68"/>
      <c r="F120" s="22"/>
      <c r="G120" s="82"/>
      <c r="H120" s="198">
        <f>SUM(B120:G120)</f>
        <v>6947</v>
      </c>
      <c r="I120" s="144"/>
      <c r="K120" s="84" t="s">
        <v>76</v>
      </c>
      <c r="M120" s="196">
        <f>3112/3112*6947</f>
        <v>6947</v>
      </c>
      <c r="R120" s="198">
        <f t="shared" si="35"/>
        <v>6947</v>
      </c>
      <c r="S120" s="201"/>
    </row>
    <row r="121" spans="1:19" ht="13.5" thickBot="1">
      <c r="A121" s="10" t="s">
        <v>122</v>
      </c>
      <c r="B121" s="2">
        <f>SUM(B83:B120)</f>
        <v>0</v>
      </c>
      <c r="C121" s="2">
        <f aca="true" t="shared" si="36" ref="C121:I121">SUM(C83:C120)</f>
        <v>33924.5</v>
      </c>
      <c r="D121" s="2">
        <f t="shared" si="36"/>
        <v>0</v>
      </c>
      <c r="E121" s="2">
        <f t="shared" si="36"/>
        <v>0</v>
      </c>
      <c r="F121" s="2">
        <f t="shared" si="36"/>
        <v>0</v>
      </c>
      <c r="G121" s="208">
        <f t="shared" si="36"/>
        <v>0</v>
      </c>
      <c r="H121" s="2">
        <f t="shared" si="36"/>
        <v>33924.5</v>
      </c>
      <c r="I121" s="2">
        <f t="shared" si="36"/>
        <v>0</v>
      </c>
      <c r="K121" s="215"/>
      <c r="L121" s="2">
        <f aca="true" t="shared" si="37" ref="L121:S121">SUM(L83:L120)</f>
        <v>0</v>
      </c>
      <c r="M121" s="2">
        <f t="shared" si="37"/>
        <v>33924.5</v>
      </c>
      <c r="N121" s="2">
        <f t="shared" si="37"/>
        <v>0</v>
      </c>
      <c r="O121" s="2">
        <f t="shared" si="37"/>
        <v>0</v>
      </c>
      <c r="P121" s="2">
        <f t="shared" si="37"/>
        <v>0</v>
      </c>
      <c r="Q121" s="208">
        <f t="shared" si="37"/>
        <v>0</v>
      </c>
      <c r="R121" s="2">
        <f t="shared" si="37"/>
        <v>33924.5</v>
      </c>
      <c r="S121" s="2">
        <f t="shared" si="37"/>
        <v>0</v>
      </c>
    </row>
    <row r="122" ht="13.5" thickTop="1"/>
    <row r="123" ht="12.75">
      <c r="C123" s="19"/>
    </row>
    <row r="124" ht="12.75">
      <c r="C124" s="19"/>
    </row>
    <row r="125" spans="1:19" ht="12.75">
      <c r="A125" s="166" t="s">
        <v>132</v>
      </c>
      <c r="B125" s="166">
        <f>B77+B121</f>
        <v>84178</v>
      </c>
      <c r="C125" s="166">
        <f aca="true" t="shared" si="38" ref="C125:I125">C77+C121</f>
        <v>37761.5</v>
      </c>
      <c r="D125" s="166">
        <f t="shared" si="38"/>
        <v>997.6999999999998</v>
      </c>
      <c r="E125" s="166">
        <f t="shared" si="38"/>
        <v>665.7999999999998</v>
      </c>
      <c r="F125" s="166">
        <f>F77+F121</f>
        <v>-3901.000000000001</v>
      </c>
      <c r="G125" s="212">
        <f t="shared" si="38"/>
        <v>4565.699999999998</v>
      </c>
      <c r="H125" s="166">
        <f t="shared" si="38"/>
        <v>124267.7</v>
      </c>
      <c r="I125" s="166">
        <f t="shared" si="38"/>
        <v>88006</v>
      </c>
      <c r="K125" s="166" t="s">
        <v>131</v>
      </c>
      <c r="L125" s="166">
        <f>L77+L121</f>
        <v>84178</v>
      </c>
      <c r="M125" s="166">
        <f aca="true" t="shared" si="39" ref="M125:S125">M77+M121</f>
        <v>37443.6</v>
      </c>
      <c r="N125" s="166">
        <f t="shared" si="39"/>
        <v>997.7</v>
      </c>
      <c r="O125" s="166">
        <f t="shared" si="39"/>
        <v>665.8</v>
      </c>
      <c r="P125" s="166">
        <f>P77+P121</f>
        <v>-3901</v>
      </c>
      <c r="Q125" s="212">
        <f t="shared" si="39"/>
        <v>4565.7</v>
      </c>
      <c r="R125" s="166">
        <f t="shared" si="39"/>
        <v>123949.8</v>
      </c>
      <c r="S125" s="166">
        <f t="shared" si="39"/>
        <v>88006</v>
      </c>
    </row>
    <row r="126" ht="13.5" thickBot="1"/>
    <row r="127" spans="8:19" ht="13.5" thickBot="1">
      <c r="H127" s="199">
        <f>124267.7-H125</f>
        <v>0</v>
      </c>
      <c r="K127" s="167" t="s">
        <v>63</v>
      </c>
      <c r="L127" s="168">
        <f aca="true" t="shared" si="40" ref="L127:S127">L125-B125</f>
        <v>0</v>
      </c>
      <c r="M127" s="168">
        <f t="shared" si="40"/>
        <v>-317.90000000000146</v>
      </c>
      <c r="N127" s="168">
        <f t="shared" si="40"/>
        <v>0</v>
      </c>
      <c r="O127" s="194">
        <f t="shared" si="40"/>
        <v>0</v>
      </c>
      <c r="P127" s="168">
        <f t="shared" si="40"/>
        <v>0</v>
      </c>
      <c r="Q127" s="169">
        <f t="shared" si="40"/>
        <v>0</v>
      </c>
      <c r="R127" s="170">
        <f t="shared" si="40"/>
        <v>-317.8999999999942</v>
      </c>
      <c r="S127" s="171">
        <f t="shared" si="40"/>
        <v>0</v>
      </c>
    </row>
    <row r="129" ht="12.75">
      <c r="R129" s="199">
        <f>123949.8-R125</f>
        <v>0</v>
      </c>
    </row>
  </sheetData>
  <sheetProtection/>
  <mergeCells count="2">
    <mergeCell ref="L2:R2"/>
    <mergeCell ref="B2:H2"/>
  </mergeCells>
  <printOptions/>
  <pageMargins left="0.5905511811023623" right="0.1968503937007874" top="0.4724409448818898" bottom="0.4724409448818898" header="0.31496062992125984" footer="0.31496062992125984"/>
  <pageSetup fitToHeight="0" fitToWidth="1" horizontalDpi="200" verticalDpi="200" orientation="landscape" paperSize="9" scale="66" r:id="rId1"/>
  <headerFooter alignWithMargins="0">
    <oddHeader>&amp;L&amp;"Arial,Tučné"&amp;16Návrh  rozpočtu  MČ Praha 16  na  rok 2015&amp;R&amp;"Arial,Kurzíva"&amp;8ZMČ 18032015 příl 2a/&amp;"Arial,Obyčejné"&amp;7
</oddHeader>
    <oddFooter>&amp;L&amp;7&amp;F&amp;R&amp;7&amp;P/&amp;N</oddFooter>
  </headerFooter>
  <rowBreaks count="2" manualBreakCount="2">
    <brk id="52" max="255" man="1"/>
    <brk id="8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ÚMČ Radotín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 Tišlová</dc:creator>
  <cp:keywords/>
  <dc:description/>
  <cp:lastModifiedBy>Marta Tišlová</cp:lastModifiedBy>
  <cp:lastPrinted>2015-02-27T04:46:14Z</cp:lastPrinted>
  <dcterms:created xsi:type="dcterms:W3CDTF">2013-12-03T05:01:01Z</dcterms:created>
  <dcterms:modified xsi:type="dcterms:W3CDTF">2015-03-10T00:06:35Z</dcterms:modified>
  <cp:category/>
  <cp:version/>
  <cp:contentType/>
  <cp:contentStatus/>
</cp:coreProperties>
</file>