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3390" windowWidth="15195" windowHeight="591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'List1'!$2:$3</definedName>
  </definedNames>
  <calcPr fullCalcOnLoad="1"/>
</workbook>
</file>

<file path=xl/sharedStrings.xml><?xml version="1.0" encoding="utf-8"?>
<sst xmlns="http://schemas.openxmlformats.org/spreadsheetml/2006/main" count="119" uniqueCount="109">
  <si>
    <t>V Ý D A J E</t>
  </si>
  <si>
    <t>P Ř Í J M Y</t>
  </si>
  <si>
    <t>UR stát, HMP</t>
  </si>
  <si>
    <t>2141 úroky</t>
  </si>
  <si>
    <t>4112 dotace stát:</t>
  </si>
  <si>
    <t>2460 splátky půjček SFZ</t>
  </si>
  <si>
    <t>2343 dobýv.prostor</t>
  </si>
  <si>
    <t>1341-5,7,51 místní poplatky</t>
  </si>
  <si>
    <t>1361 správní poplatky</t>
  </si>
  <si>
    <t>1511 daň z nemovitostí</t>
  </si>
  <si>
    <t>4121 HMP dotace</t>
  </si>
  <si>
    <t>4131 z účtu ekon.činnosti</t>
  </si>
  <si>
    <t>3636 územní rozvoj</t>
  </si>
  <si>
    <t>3639 komun.služby</t>
  </si>
  <si>
    <t>3421 dětská hřiště</t>
  </si>
  <si>
    <t>3745 veřejná zeleň</t>
  </si>
  <si>
    <t>2212 silnice</t>
  </si>
  <si>
    <t>2219 ost.zál.komun</t>
  </si>
  <si>
    <t>3111 mat.škola</t>
  </si>
  <si>
    <t>3113 zákl.škola</t>
  </si>
  <si>
    <t>3141 škol.jídelna</t>
  </si>
  <si>
    <t>3231 zákl.uměl.</t>
  </si>
  <si>
    <t>4351/1,2 domy s peč.sl</t>
  </si>
  <si>
    <t>4351/4 přísp.stravné</t>
  </si>
  <si>
    <t>4351 peč.služba</t>
  </si>
  <si>
    <t>3541 prevence</t>
  </si>
  <si>
    <t>4185 za 2011</t>
  </si>
  <si>
    <t>4319 soc. péče</t>
  </si>
  <si>
    <t>4329 péče o mládež</t>
  </si>
  <si>
    <t>4359 ost.soc</t>
  </si>
  <si>
    <t>4379 péče o seniory</t>
  </si>
  <si>
    <t>3313 kino</t>
  </si>
  <si>
    <t>3314 knihovna</t>
  </si>
  <si>
    <t>3319 kult.střed</t>
  </si>
  <si>
    <t>3319 kronika,letopis</t>
  </si>
  <si>
    <t>3319 kult.akce</t>
  </si>
  <si>
    <t>3412 sport.zař</t>
  </si>
  <si>
    <t>5512 dobrov.hasiči</t>
  </si>
  <si>
    <t>3612 bytové hosp.</t>
  </si>
  <si>
    <t>3639,3632 techn.sl</t>
  </si>
  <si>
    <t>08      HOSPODÁŘSTVÍ</t>
  </si>
  <si>
    <t>6112 ZMČ</t>
  </si>
  <si>
    <t>6171 úřad provoz</t>
  </si>
  <si>
    <t>6171 objekty 21,23,732</t>
  </si>
  <si>
    <t>investiční akce</t>
  </si>
  <si>
    <t>kulturní akce</t>
  </si>
  <si>
    <t>různé organizační</t>
  </si>
  <si>
    <t>volby</t>
  </si>
  <si>
    <t>10                              FINANCOVÁNÍ</t>
  </si>
  <si>
    <t>MČ CELKEM</t>
  </si>
  <si>
    <t>R 2013</t>
  </si>
  <si>
    <t>Návrh UR 2013</t>
  </si>
  <si>
    <t>Návrh rozpočtu 2014</t>
  </si>
  <si>
    <r>
      <t xml:space="preserve">   DPPO 2012 3636</t>
    </r>
    <r>
      <rPr>
        <sz val="7"/>
        <color indexed="12"/>
        <rFont val="Arial"/>
        <family val="2"/>
      </rPr>
      <t xml:space="preserve"> Lávka Nám.Osv</t>
    </r>
  </si>
  <si>
    <r>
      <t>2310</t>
    </r>
    <r>
      <rPr>
        <sz val="8"/>
        <rFont val="Arial"/>
        <family val="0"/>
      </rPr>
      <t xml:space="preserve"> voda </t>
    </r>
    <r>
      <rPr>
        <sz val="9"/>
        <rFont val="Arial"/>
        <family val="0"/>
      </rPr>
      <t>2321</t>
    </r>
    <r>
      <rPr>
        <sz val="8"/>
        <rFont val="Arial"/>
        <family val="0"/>
      </rPr>
      <t xml:space="preserve"> odp. voda </t>
    </r>
    <r>
      <rPr>
        <sz val="9"/>
        <rFont val="Arial"/>
        <family val="0"/>
      </rPr>
      <t>3722</t>
    </r>
    <r>
      <rPr>
        <sz val="8"/>
        <rFont val="Arial"/>
        <family val="0"/>
      </rPr>
      <t xml:space="preserve"> odpady</t>
    </r>
  </si>
  <si>
    <r>
      <t xml:space="preserve">   DPPO 2012 3745</t>
    </r>
    <r>
      <rPr>
        <sz val="7"/>
        <color indexed="12"/>
        <rFont val="Arial"/>
        <family val="2"/>
      </rPr>
      <t xml:space="preserve"> Květin.mobiliář</t>
    </r>
  </si>
  <si>
    <r>
      <t xml:space="preserve">    4319 nezisk.org.</t>
    </r>
    <r>
      <rPr>
        <sz val="8"/>
        <color indexed="12"/>
        <rFont val="Arial"/>
        <family val="2"/>
      </rPr>
      <t>výnos z loterií</t>
    </r>
    <r>
      <rPr>
        <sz val="7"/>
        <color indexed="12"/>
        <rFont val="Arial"/>
        <family val="2"/>
      </rPr>
      <t xml:space="preserve"> dopl. 3Q 2012+ 1-4/2013</t>
    </r>
  </si>
  <si>
    <t xml:space="preserve">    soc. služby</t>
  </si>
  <si>
    <t xml:space="preserve">    prevence SO P 16</t>
  </si>
  <si>
    <t>3539 zdrav zařízení</t>
  </si>
  <si>
    <r>
      <t xml:space="preserve">       4359 Péče </t>
    </r>
    <r>
      <rPr>
        <sz val="8"/>
        <color indexed="12"/>
        <rFont val="Arial"/>
        <family val="2"/>
      </rPr>
      <t>výnos z loterií</t>
    </r>
  </si>
  <si>
    <r>
      <t xml:space="preserve">   DPPO 2012 3313</t>
    </r>
    <r>
      <rPr>
        <sz val="7"/>
        <color indexed="12"/>
        <rFont val="Arial"/>
        <family val="2"/>
      </rPr>
      <t xml:space="preserve"> Kino údržba</t>
    </r>
  </si>
  <si>
    <t xml:space="preserve">          JSDH povodně</t>
  </si>
  <si>
    <r>
      <t xml:space="preserve">   DPPO 2012 6171</t>
    </r>
    <r>
      <rPr>
        <sz val="7"/>
        <color indexed="12"/>
        <rFont val="Arial"/>
        <family val="2"/>
      </rPr>
      <t xml:space="preserve"> ÚMČ provoz</t>
    </r>
  </si>
  <si>
    <t xml:space="preserve">   výkon agendy SPOD</t>
  </si>
  <si>
    <t xml:space="preserve">   zkoušky odb.způsob</t>
  </si>
  <si>
    <t xml:space="preserve">   likvidace povodň.škod</t>
  </si>
  <si>
    <t>4121 dotace HMP:</t>
  </si>
  <si>
    <t>HMP aktivity soc.služeb</t>
  </si>
  <si>
    <t>HMP přísp.na provoz</t>
  </si>
  <si>
    <t>HMP likvidace povodň.škod</t>
  </si>
  <si>
    <t>4116 dotace stát:</t>
  </si>
  <si>
    <t>4121 výnos DPPO za 2012</t>
  </si>
  <si>
    <t xml:space="preserve">      Povodňový fond MČ</t>
  </si>
  <si>
    <t xml:space="preserve"> FV 2012</t>
  </si>
  <si>
    <t xml:space="preserve"> rozdíl příjmů a výdajů = finanční vypořádání roku 2012:</t>
  </si>
  <si>
    <t>07    B E Z P E Č N O S T</t>
  </si>
  <si>
    <t>06    KULTURA  A  SPORT</t>
  </si>
  <si>
    <t>04   Š K O L S T V Í</t>
  </si>
  <si>
    <t>05    SOC. A  ZDRAV.</t>
  </si>
  <si>
    <t>01  Ú Z E M N Í  R O Z V O J</t>
  </si>
  <si>
    <t>02   INFRASTRUKTURA</t>
  </si>
  <si>
    <t>03   D O P R A V A</t>
  </si>
  <si>
    <t>09   VNITŘNÍ  SPRÁVA</t>
  </si>
  <si>
    <r>
      <t xml:space="preserve"> 4329 Péče o mládež </t>
    </r>
    <r>
      <rPr>
        <sz val="8"/>
        <color indexed="12"/>
        <rFont val="Arial"/>
        <family val="2"/>
      </rPr>
      <t>výnos z loterií</t>
    </r>
  </si>
  <si>
    <r>
      <t xml:space="preserve"> 4351/2 NDPS</t>
    </r>
    <r>
      <rPr>
        <sz val="8"/>
        <color indexed="12"/>
        <rFont val="Arial"/>
        <family val="2"/>
      </rPr>
      <t xml:space="preserve"> údržba</t>
    </r>
    <r>
      <rPr>
        <sz val="9"/>
        <color indexed="12"/>
        <rFont val="Arial"/>
        <family val="0"/>
      </rPr>
      <t xml:space="preserve"> </t>
    </r>
    <r>
      <rPr>
        <sz val="8"/>
        <color indexed="12"/>
        <rFont val="Arial"/>
        <family val="2"/>
      </rPr>
      <t>výnos z loterií</t>
    </r>
  </si>
  <si>
    <r>
      <t xml:space="preserve"> DPPO 2012 4351</t>
    </r>
    <r>
      <rPr>
        <sz val="7"/>
        <color indexed="12"/>
        <rFont val="Arial"/>
        <family val="2"/>
      </rPr>
      <t xml:space="preserve"> PS zázemí+SZ dovybavení</t>
    </r>
  </si>
  <si>
    <r>
      <t xml:space="preserve">  ZŠ objekty služby </t>
    </r>
    <r>
      <rPr>
        <sz val="8"/>
        <color indexed="12"/>
        <rFont val="Arial"/>
        <family val="2"/>
      </rPr>
      <t>výnos z loterií</t>
    </r>
    <r>
      <rPr>
        <sz val="7"/>
        <color indexed="12"/>
        <rFont val="Arial"/>
        <family val="2"/>
      </rPr>
      <t xml:space="preserve"> dopl. 3Q 2012</t>
    </r>
  </si>
  <si>
    <r>
      <t xml:space="preserve">  DPPO 2012 2339</t>
    </r>
    <r>
      <rPr>
        <sz val="7"/>
        <color indexed="12"/>
        <rFont val="Arial"/>
        <family val="2"/>
      </rPr>
      <t xml:space="preserve"> Mostky přes Radot.potok</t>
    </r>
  </si>
  <si>
    <r>
      <t xml:space="preserve">  DPPO 2012 3111</t>
    </r>
    <r>
      <rPr>
        <sz val="7"/>
        <color indexed="12"/>
        <rFont val="Arial"/>
        <family val="2"/>
      </rPr>
      <t xml:space="preserve"> MŠ dovyb.kuch+zateplení</t>
    </r>
  </si>
  <si>
    <r>
      <t xml:space="preserve"> DPPO 2012 3113</t>
    </r>
    <r>
      <rPr>
        <sz val="7"/>
        <color indexed="12"/>
        <rFont val="Arial"/>
        <family val="2"/>
      </rPr>
      <t xml:space="preserve"> ZŠ objekty služby a údržba</t>
    </r>
  </si>
  <si>
    <r>
      <t xml:space="preserve">      3319 KS kult.akce </t>
    </r>
    <r>
      <rPr>
        <sz val="8"/>
        <color indexed="12"/>
        <rFont val="Arial"/>
        <family val="2"/>
      </rPr>
      <t>výnos z loterií</t>
    </r>
  </si>
  <si>
    <r>
      <t xml:space="preserve">  DPPO 2012 3319</t>
    </r>
    <r>
      <rPr>
        <sz val="7"/>
        <color indexed="12"/>
        <rFont val="Arial"/>
        <family val="2"/>
      </rPr>
      <t xml:space="preserve"> KS kulturní akce        .</t>
    </r>
  </si>
  <si>
    <r>
      <t xml:space="preserve">   3421 Dětská hřiště </t>
    </r>
    <r>
      <rPr>
        <sz val="8"/>
        <color indexed="12"/>
        <rFont val="Arial"/>
        <family val="2"/>
      </rPr>
      <t>výnos z loterií</t>
    </r>
  </si>
  <si>
    <r>
      <t xml:space="preserve">  DPPO 2012 3612</t>
    </r>
    <r>
      <rPr>
        <sz val="7"/>
        <color indexed="12"/>
        <rFont val="Arial"/>
        <family val="2"/>
      </rPr>
      <t xml:space="preserve"> BD 1061-63 zateplení</t>
    </r>
  </si>
  <si>
    <r>
      <t xml:space="preserve"> DPPO 2012 6112</t>
    </r>
    <r>
      <rPr>
        <sz val="7"/>
        <color indexed="12"/>
        <rFont val="Arial"/>
        <family val="2"/>
      </rPr>
      <t xml:space="preserve"> MČ doprov.progr trhy</t>
    </r>
  </si>
  <si>
    <t xml:space="preserve">FV 2012 doplatek loterie 3.Q 2012   </t>
  </si>
  <si>
    <r>
      <t xml:space="preserve">  </t>
    </r>
    <r>
      <rPr>
        <sz val="9"/>
        <color indexed="20"/>
        <rFont val="Arial"/>
        <family val="2"/>
      </rPr>
      <t xml:space="preserve">4399 pěstounská péče                     </t>
    </r>
    <r>
      <rPr>
        <sz val="9"/>
        <rFont val="Arial"/>
        <family val="0"/>
      </rPr>
      <t>4359 péče soc.péče</t>
    </r>
  </si>
  <si>
    <t>přech Prvom 500 chodn Výpad 1.000</t>
  </si>
  <si>
    <t>nádv ZŠ HMP</t>
  </si>
  <si>
    <t>mostek Prv 800 lávkapB 1.500 HMP</t>
  </si>
  <si>
    <t>Sídl BD zatepl 4.500 radon ? start.byty 400</t>
  </si>
  <si>
    <t>kontejn 1.800</t>
  </si>
  <si>
    <t>čp.23 zatepl 500</t>
  </si>
  <si>
    <r>
      <t xml:space="preserve">předpoklad </t>
    </r>
    <r>
      <rPr>
        <sz val="9"/>
        <rFont val="Arial"/>
        <family val="0"/>
      </rPr>
      <t>12/2013</t>
    </r>
  </si>
  <si>
    <r>
      <t>221</t>
    </r>
    <r>
      <rPr>
        <sz val="8"/>
        <rFont val="Arial"/>
        <family val="2"/>
      </rPr>
      <t>2</t>
    </r>
    <r>
      <rPr>
        <sz val="8"/>
        <rFont val="Arial"/>
        <family val="0"/>
      </rPr>
      <t xml:space="preserve"> sankce</t>
    </r>
  </si>
  <si>
    <r>
      <t>dary</t>
    </r>
    <r>
      <rPr>
        <sz val="8"/>
        <rFont val="Arial"/>
        <family val="2"/>
      </rPr>
      <t xml:space="preserve"> 2321 neinv 3121 inv 4129 SO</t>
    </r>
  </si>
  <si>
    <r>
      <t xml:space="preserve">2329 nahod </t>
    </r>
    <r>
      <rPr>
        <sz val="8"/>
        <rFont val="Arial"/>
        <family val="2"/>
      </rPr>
      <t>(z r. 2012), 2322 poj.pln</t>
    </r>
  </si>
  <si>
    <r>
      <t>4121 výnos loterie</t>
    </r>
    <r>
      <rPr>
        <sz val="7"/>
        <rFont val="Arial"/>
        <family val="2"/>
      </rPr>
      <t xml:space="preserve"> inkaso HMP 1-4/2013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</si>
</sst>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19">
    <font>
      <sz val="10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0"/>
    </font>
    <font>
      <sz val="9"/>
      <color indexed="12"/>
      <name val="Arial"/>
      <family val="0"/>
    </font>
    <font>
      <sz val="8"/>
      <color indexed="12"/>
      <name val="Arial"/>
      <family val="2"/>
    </font>
    <font>
      <sz val="7"/>
      <name val="Arial CE"/>
      <family val="0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sz val="8"/>
      <color indexed="20"/>
      <name val="Arial"/>
      <family val="0"/>
    </font>
    <font>
      <sz val="7"/>
      <color indexed="12"/>
      <name val="Arial"/>
      <family val="2"/>
    </font>
    <font>
      <sz val="9"/>
      <color indexed="2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i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medium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medium"/>
      <top style="thick"/>
      <bottom style="thin"/>
    </border>
    <border>
      <left style="thin"/>
      <right style="medium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164" fontId="3" fillId="0" borderId="1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 wrapText="1"/>
    </xf>
    <xf numFmtId="0" fontId="6" fillId="0" borderId="1" xfId="0" applyNumberFormat="1" applyFont="1" applyFill="1" applyBorder="1" applyAlignment="1">
      <alignment wrapText="1"/>
    </xf>
    <xf numFmtId="164" fontId="6" fillId="0" borderId="1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164" fontId="1" fillId="3" borderId="2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3" xfId="0" applyFont="1" applyFill="1" applyBorder="1" applyAlignment="1">
      <alignment wrapText="1"/>
    </xf>
    <xf numFmtId="0" fontId="7" fillId="0" borderId="4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8" fillId="2" borderId="4" xfId="0" applyFont="1" applyFill="1" applyBorder="1" applyAlignment="1">
      <alignment wrapText="1"/>
    </xf>
    <xf numFmtId="0" fontId="9" fillId="0" borderId="4" xfId="0" applyFont="1" applyFill="1" applyBorder="1" applyAlignment="1">
      <alignment wrapText="1"/>
    </xf>
    <xf numFmtId="0" fontId="8" fillId="3" borderId="5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5" fillId="0" borderId="4" xfId="0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right" wrapText="1"/>
    </xf>
    <xf numFmtId="3" fontId="7" fillId="0" borderId="4" xfId="0" applyNumberFormat="1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 horizontal="center" wrapText="1"/>
    </xf>
    <xf numFmtId="164" fontId="10" fillId="0" borderId="0" xfId="0" applyNumberFormat="1" applyFont="1" applyAlignment="1">
      <alignment/>
    </xf>
    <xf numFmtId="0" fontId="7" fillId="0" borderId="4" xfId="0" applyFont="1" applyFill="1" applyBorder="1" applyAlignment="1">
      <alignment/>
    </xf>
    <xf numFmtId="4" fontId="9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4" fontId="13" fillId="0" borderId="8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 wrapText="1"/>
    </xf>
    <xf numFmtId="4" fontId="9" fillId="0" borderId="9" xfId="0" applyNumberFormat="1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center" wrapText="1"/>
    </xf>
    <xf numFmtId="0" fontId="9" fillId="0" borderId="1" xfId="0" applyNumberFormat="1" applyFont="1" applyFill="1" applyBorder="1" applyAlignment="1">
      <alignment horizontal="center" wrapText="1"/>
    </xf>
    <xf numFmtId="164" fontId="0" fillId="0" borderId="1" xfId="0" applyNumberFormat="1" applyFont="1" applyFill="1" applyBorder="1" applyAlignment="1">
      <alignment/>
    </xf>
    <xf numFmtId="4" fontId="3" fillId="0" borderId="9" xfId="0" applyNumberFormat="1" applyFont="1" applyFill="1" applyBorder="1" applyAlignment="1">
      <alignment wrapText="1"/>
    </xf>
    <xf numFmtId="0" fontId="3" fillId="0" borderId="7" xfId="0" applyFont="1" applyFill="1" applyBorder="1" applyAlignment="1">
      <alignment/>
    </xf>
    <xf numFmtId="164" fontId="14" fillId="0" borderId="11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 wrapText="1"/>
    </xf>
    <xf numFmtId="4" fontId="9" fillId="0" borderId="1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1" fillId="2" borderId="1" xfId="0" applyNumberFormat="1" applyFont="1" applyFill="1" applyBorder="1" applyAlignment="1">
      <alignment/>
    </xf>
    <xf numFmtId="164" fontId="1" fillId="2" borderId="11" xfId="0" applyNumberFormat="1" applyFont="1" applyFill="1" applyBorder="1" applyAlignment="1">
      <alignment/>
    </xf>
    <xf numFmtId="164" fontId="1" fillId="2" borderId="10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3" fillId="0" borderId="7" xfId="0" applyNumberFormat="1" applyFont="1" applyFill="1" applyBorder="1" applyAlignment="1">
      <alignment/>
    </xf>
    <xf numFmtId="0" fontId="3" fillId="0" borderId="1" xfId="0" applyFont="1" applyBorder="1" applyAlignment="1">
      <alignment wrapText="1"/>
    </xf>
    <xf numFmtId="3" fontId="3" fillId="0" borderId="7" xfId="0" applyNumberFormat="1" applyFont="1" applyFill="1" applyBorder="1" applyAlignment="1">
      <alignment/>
    </xf>
    <xf numFmtId="0" fontId="15" fillId="0" borderId="1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3" fontId="3" fillId="0" borderId="7" xfId="0" applyNumberFormat="1" applyFont="1" applyFill="1" applyBorder="1" applyAlignment="1">
      <alignment horizontal="center"/>
    </xf>
    <xf numFmtId="164" fontId="15" fillId="0" borderId="11" xfId="0" applyNumberFormat="1" applyFont="1" applyFill="1" applyBorder="1" applyAlignment="1">
      <alignment/>
    </xf>
    <xf numFmtId="164" fontId="15" fillId="0" borderId="10" xfId="0" applyNumberFormat="1" applyFont="1" applyFill="1" applyBorder="1" applyAlignment="1">
      <alignment/>
    </xf>
    <xf numFmtId="3" fontId="9" fillId="0" borderId="7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/>
    </xf>
    <xf numFmtId="3" fontId="16" fillId="0" borderId="7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/>
    </xf>
    <xf numFmtId="0" fontId="9" fillId="0" borderId="7" xfId="0" applyNumberFormat="1" applyFont="1" applyFill="1" applyBorder="1" applyAlignment="1">
      <alignment/>
    </xf>
    <xf numFmtId="164" fontId="14" fillId="0" borderId="1" xfId="0" applyNumberFormat="1" applyFont="1" applyBorder="1" applyAlignment="1">
      <alignment/>
    </xf>
    <xf numFmtId="3" fontId="9" fillId="0" borderId="7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164" fontId="0" fillId="0" borderId="1" xfId="0" applyNumberFormat="1" applyFont="1" applyBorder="1" applyAlignment="1">
      <alignment/>
    </xf>
    <xf numFmtId="164" fontId="15" fillId="0" borderId="1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17" fillId="0" borderId="11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17" fillId="0" borderId="10" xfId="0" applyNumberFormat="1" applyFont="1" applyFill="1" applyBorder="1" applyAlignment="1">
      <alignment/>
    </xf>
    <xf numFmtId="3" fontId="6" fillId="0" borderId="7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/>
    </xf>
    <xf numFmtId="0" fontId="3" fillId="0" borderId="1" xfId="0" applyFont="1" applyBorder="1" applyAlignment="1">
      <alignment wrapText="1"/>
    </xf>
    <xf numFmtId="164" fontId="15" fillId="3" borderId="1" xfId="0" applyNumberFormat="1" applyFont="1" applyFill="1" applyBorder="1" applyAlignment="1">
      <alignment/>
    </xf>
    <xf numFmtId="3" fontId="16" fillId="0" borderId="7" xfId="0" applyNumberFormat="1" applyFont="1" applyFill="1" applyBorder="1" applyAlignment="1">
      <alignment wrapText="1"/>
    </xf>
    <xf numFmtId="164" fontId="15" fillId="0" borderId="1" xfId="0" applyNumberFormat="1" applyFont="1" applyFill="1" applyBorder="1" applyAlignment="1">
      <alignment wrapText="1"/>
    </xf>
    <xf numFmtId="3" fontId="9" fillId="0" borderId="7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wrapText="1"/>
    </xf>
    <xf numFmtId="3" fontId="16" fillId="0" borderId="1" xfId="0" applyNumberFormat="1" applyFont="1" applyFill="1" applyBorder="1" applyAlignment="1">
      <alignment/>
    </xf>
    <xf numFmtId="164" fontId="15" fillId="0" borderId="11" xfId="0" applyNumberFormat="1" applyFont="1" applyFill="1" applyBorder="1" applyAlignment="1">
      <alignment wrapText="1"/>
    </xf>
    <xf numFmtId="164" fontId="0" fillId="0" borderId="1" xfId="0" applyNumberFormat="1" applyFont="1" applyFill="1" applyBorder="1" applyAlignment="1">
      <alignment/>
    </xf>
    <xf numFmtId="164" fontId="15" fillId="0" borderId="10" xfId="0" applyNumberFormat="1" applyFont="1" applyFill="1" applyBorder="1" applyAlignment="1">
      <alignment wrapText="1"/>
    </xf>
    <xf numFmtId="164" fontId="18" fillId="0" borderId="7" xfId="0" applyNumberFormat="1" applyFont="1" applyFill="1" applyBorder="1" applyAlignment="1">
      <alignment horizontal="right" wrapText="1"/>
    </xf>
    <xf numFmtId="164" fontId="0" fillId="0" borderId="11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4" fontId="7" fillId="0" borderId="1" xfId="0" applyNumberFormat="1" applyFont="1" applyBorder="1" applyAlignment="1">
      <alignment/>
    </xf>
    <xf numFmtId="164" fontId="18" fillId="0" borderId="7" xfId="0" applyNumberFormat="1" applyFont="1" applyFill="1" applyBorder="1" applyAlignment="1">
      <alignment wrapText="1"/>
    </xf>
    <xf numFmtId="164" fontId="0" fillId="0" borderId="11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2" fillId="3" borderId="12" xfId="0" applyNumberFormat="1" applyFont="1" applyFill="1" applyBorder="1" applyAlignment="1">
      <alignment/>
    </xf>
    <xf numFmtId="164" fontId="1" fillId="3" borderId="13" xfId="0" applyNumberFormat="1" applyFont="1" applyFill="1" applyBorder="1" applyAlignment="1">
      <alignment/>
    </xf>
    <xf numFmtId="164" fontId="1" fillId="3" borderId="14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1" fillId="3" borderId="15" xfId="0" applyNumberFormat="1" applyFont="1" applyFill="1" applyBorder="1" applyAlignment="1">
      <alignment/>
    </xf>
    <xf numFmtId="164" fontId="8" fillId="3" borderId="16" xfId="0" applyNumberFormat="1" applyFont="1" applyFill="1" applyBorder="1" applyAlignment="1">
      <alignment wrapText="1"/>
    </xf>
    <xf numFmtId="0" fontId="7" fillId="0" borderId="17" xfId="0" applyFont="1" applyBorder="1" applyAlignment="1">
      <alignment wrapText="1"/>
    </xf>
    <xf numFmtId="0" fontId="1" fillId="0" borderId="1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9" fillId="0" borderId="22" xfId="0" applyNumberFormat="1" applyFont="1" applyFill="1" applyBorder="1" applyAlignment="1">
      <alignment horizontal="center" wrapText="1"/>
    </xf>
    <xf numFmtId="0" fontId="9" fillId="0" borderId="11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6"/>
  <sheetViews>
    <sheetView tabSelected="1" zoomScale="80" zoomScaleNormal="8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8" sqref="H8"/>
    </sheetView>
  </sheetViews>
  <sheetFormatPr defaultColWidth="9.140625" defaultRowHeight="12.75"/>
  <cols>
    <col min="1" max="1" width="30.00390625" style="18" customWidth="1"/>
    <col min="2" max="2" width="8.8515625" style="30" customWidth="1"/>
    <col min="3" max="3" width="8.7109375" style="30" customWidth="1"/>
    <col min="4" max="5" width="8.8515625" style="30" customWidth="1"/>
    <col min="6" max="6" width="8.8515625" style="30" hidden="1" customWidth="1"/>
    <col min="7" max="7" width="8.8515625" style="31" customWidth="1"/>
    <col min="8" max="8" width="8.8515625" style="29" customWidth="1"/>
    <col min="9" max="9" width="28.57421875" style="10" customWidth="1"/>
    <col min="10" max="10" width="8.8515625" style="30" customWidth="1"/>
    <col min="11" max="11" width="9.8515625" style="30" customWidth="1"/>
    <col min="12" max="12" width="8.8515625" style="30" customWidth="1"/>
    <col min="13" max="13" width="8.8515625" style="31" customWidth="1"/>
    <col min="14" max="14" width="8.8515625" style="30" hidden="1" customWidth="1"/>
    <col min="15" max="15" width="8.8515625" style="31" customWidth="1"/>
  </cols>
  <sheetData>
    <row r="1" spans="2:7" ht="13.5" thickBot="1">
      <c r="B1" s="8"/>
      <c r="C1" s="8"/>
      <c r="D1" s="8"/>
      <c r="E1" s="8"/>
      <c r="F1" s="8"/>
      <c r="G1" s="9"/>
    </row>
    <row r="2" spans="1:15" ht="13.5" thickTop="1">
      <c r="A2" s="11"/>
      <c r="B2" s="113" t="s">
        <v>0</v>
      </c>
      <c r="C2" s="113"/>
      <c r="D2" s="113"/>
      <c r="E2" s="113"/>
      <c r="F2" s="113"/>
      <c r="G2" s="113"/>
      <c r="H2" s="32"/>
      <c r="I2" s="25"/>
      <c r="J2" s="114" t="s">
        <v>1</v>
      </c>
      <c r="K2" s="115"/>
      <c r="L2" s="115"/>
      <c r="M2" s="115"/>
      <c r="N2" s="115"/>
      <c r="O2" s="116"/>
    </row>
    <row r="3" spans="1:15" ht="36">
      <c r="A3" s="12"/>
      <c r="B3" s="33" t="s">
        <v>50</v>
      </c>
      <c r="C3" s="33" t="s">
        <v>51</v>
      </c>
      <c r="D3" s="33" t="s">
        <v>2</v>
      </c>
      <c r="E3" s="117" t="s">
        <v>104</v>
      </c>
      <c r="F3" s="118"/>
      <c r="G3" s="33" t="s">
        <v>52</v>
      </c>
      <c r="H3" s="34"/>
      <c r="I3" s="26"/>
      <c r="J3" s="33" t="s">
        <v>50</v>
      </c>
      <c r="K3" s="33" t="s">
        <v>51</v>
      </c>
      <c r="L3" s="33" t="s">
        <v>2</v>
      </c>
      <c r="M3" s="117" t="s">
        <v>104</v>
      </c>
      <c r="N3" s="118"/>
      <c r="O3" s="35" t="s">
        <v>52</v>
      </c>
    </row>
    <row r="4" spans="1:15" ht="12.75">
      <c r="A4" s="12"/>
      <c r="B4" s="33"/>
      <c r="C4" s="33"/>
      <c r="D4" s="33"/>
      <c r="E4" s="36"/>
      <c r="F4" s="36"/>
      <c r="G4" s="33"/>
      <c r="H4" s="34"/>
      <c r="I4" s="26"/>
      <c r="J4" s="33"/>
      <c r="K4" s="33"/>
      <c r="L4" s="33"/>
      <c r="M4" s="36"/>
      <c r="N4" s="36"/>
      <c r="O4" s="35"/>
    </row>
    <row r="5" spans="1:15" ht="19.5">
      <c r="A5" s="13" t="s">
        <v>12</v>
      </c>
      <c r="B5" s="37">
        <f>3000</f>
        <v>3000</v>
      </c>
      <c r="C5" s="37">
        <v>60</v>
      </c>
      <c r="D5" s="37"/>
      <c r="E5" s="37">
        <f>C5+D5</f>
        <v>60</v>
      </c>
      <c r="F5" s="37"/>
      <c r="G5" s="37">
        <f>3000</f>
        <v>3000</v>
      </c>
      <c r="H5" s="38" t="s">
        <v>102</v>
      </c>
      <c r="I5" s="39"/>
      <c r="J5" s="40">
        <f>160*0+2012/2012*200*0+2013/2013*(903/903*2343/2343*-250*0+103/103*2119/2119*250)</f>
        <v>250</v>
      </c>
      <c r="K5" s="41">
        <f>J5</f>
        <v>250</v>
      </c>
      <c r="L5" s="41"/>
      <c r="M5" s="41">
        <f>K5+L5</f>
        <v>250</v>
      </c>
      <c r="N5" s="41"/>
      <c r="O5" s="42">
        <v>250</v>
      </c>
    </row>
    <row r="6" spans="1:15" ht="12.75">
      <c r="A6" s="19" t="s">
        <v>53</v>
      </c>
      <c r="B6" s="41"/>
      <c r="C6" s="41"/>
      <c r="D6" s="41">
        <f>6/6*360</f>
        <v>360</v>
      </c>
      <c r="E6" s="41">
        <f>C6+D6</f>
        <v>360</v>
      </c>
      <c r="F6" s="41"/>
      <c r="G6" s="41"/>
      <c r="H6" s="43"/>
      <c r="I6" s="39"/>
      <c r="J6" s="40"/>
      <c r="K6" s="41"/>
      <c r="L6" s="41"/>
      <c r="M6" s="41"/>
      <c r="N6" s="41"/>
      <c r="O6" s="42"/>
    </row>
    <row r="7" spans="1:15" ht="12.75">
      <c r="A7" s="13" t="s">
        <v>13</v>
      </c>
      <c r="B7" s="41"/>
      <c r="C7" s="41"/>
      <c r="D7" s="41"/>
      <c r="E7" s="41"/>
      <c r="F7" s="41"/>
      <c r="G7" s="41"/>
      <c r="H7" s="44"/>
      <c r="I7" s="39"/>
      <c r="J7" s="45"/>
      <c r="K7" s="37"/>
      <c r="L7" s="37"/>
      <c r="M7" s="37"/>
      <c r="N7" s="37"/>
      <c r="O7" s="46"/>
    </row>
    <row r="8" spans="1:15" ht="12.75">
      <c r="A8" s="15" t="s">
        <v>80</v>
      </c>
      <c r="B8" s="2">
        <f aca="true" t="shared" si="0" ref="B8:G8">SUM(B5:B7)</f>
        <v>3000</v>
      </c>
      <c r="C8" s="47">
        <f t="shared" si="0"/>
        <v>60</v>
      </c>
      <c r="D8" s="2">
        <f t="shared" si="0"/>
        <v>360</v>
      </c>
      <c r="E8" s="2">
        <f t="shared" si="0"/>
        <v>420</v>
      </c>
      <c r="F8" s="2">
        <f t="shared" si="0"/>
        <v>0</v>
      </c>
      <c r="G8" s="2">
        <f t="shared" si="0"/>
        <v>3000</v>
      </c>
      <c r="H8" s="44"/>
      <c r="I8" s="39"/>
      <c r="J8" s="48">
        <f aca="true" t="shared" si="1" ref="J8:O8">SUM(J5:J7)</f>
        <v>250</v>
      </c>
      <c r="K8" s="2">
        <f t="shared" si="1"/>
        <v>250</v>
      </c>
      <c r="L8" s="2">
        <f t="shared" si="1"/>
        <v>0</v>
      </c>
      <c r="M8" s="2">
        <f t="shared" si="1"/>
        <v>250</v>
      </c>
      <c r="N8" s="2">
        <f t="shared" si="1"/>
        <v>0</v>
      </c>
      <c r="O8" s="49">
        <f t="shared" si="1"/>
        <v>250</v>
      </c>
    </row>
    <row r="9" spans="1:15" ht="12.75">
      <c r="A9" s="13" t="s">
        <v>14</v>
      </c>
      <c r="B9" s="37">
        <f>100</f>
        <v>100</v>
      </c>
      <c r="C9" s="37">
        <f>B9-26+12</f>
        <v>86</v>
      </c>
      <c r="D9" s="37"/>
      <c r="E9" s="37">
        <f>C9+D9</f>
        <v>86</v>
      </c>
      <c r="F9" s="37"/>
      <c r="G9" s="37">
        <f>100</f>
        <v>100</v>
      </c>
      <c r="H9" s="44"/>
      <c r="I9" s="39"/>
      <c r="J9" s="45"/>
      <c r="K9" s="50"/>
      <c r="L9" s="50"/>
      <c r="M9" s="50"/>
      <c r="N9" s="51"/>
      <c r="O9" s="52"/>
    </row>
    <row r="10" spans="1:15" ht="23.25">
      <c r="A10" s="13" t="s">
        <v>54</v>
      </c>
      <c r="B10" s="51">
        <f>2321/2321*(50+100)+3722/3722*500*0+2013/2013*621</f>
        <v>771</v>
      </c>
      <c r="C10" s="51">
        <f>B10+621-96.4-238.8</f>
        <v>1056.8</v>
      </c>
      <c r="D10" s="51">
        <f>81/81*1/1*4000</f>
        <v>4000</v>
      </c>
      <c r="E10" s="51">
        <f>C10+D10</f>
        <v>5056.8</v>
      </c>
      <c r="F10" s="51"/>
      <c r="G10" s="51">
        <v>150</v>
      </c>
      <c r="H10" s="44"/>
      <c r="I10" s="39"/>
      <c r="J10" s="45"/>
      <c r="K10" s="50"/>
      <c r="L10" s="50"/>
      <c r="M10" s="50"/>
      <c r="N10" s="51"/>
      <c r="O10" s="52"/>
    </row>
    <row r="11" spans="1:15" ht="12.75">
      <c r="A11" s="13" t="s">
        <v>13</v>
      </c>
      <c r="B11" s="51"/>
      <c r="C11" s="51"/>
      <c r="D11" s="51"/>
      <c r="E11" s="51">
        <f>C11+D11</f>
        <v>0</v>
      </c>
      <c r="F11" s="51"/>
      <c r="G11" s="51"/>
      <c r="H11" s="44"/>
      <c r="I11" s="39"/>
      <c r="J11" s="45"/>
      <c r="K11" s="50"/>
      <c r="L11" s="50"/>
      <c r="M11" s="50"/>
      <c r="N11" s="51"/>
      <c r="O11" s="52"/>
    </row>
    <row r="12" spans="1:15" ht="12.75">
      <c r="A12" s="13" t="s">
        <v>15</v>
      </c>
      <c r="B12" s="51">
        <f>100+100</f>
        <v>200</v>
      </c>
      <c r="C12" s="51">
        <f>B12</f>
        <v>200</v>
      </c>
      <c r="D12" s="51">
        <f>10/10*53.2</f>
        <v>53.2</v>
      </c>
      <c r="E12" s="51">
        <f>C12+D12</f>
        <v>253.2</v>
      </c>
      <c r="F12" s="51"/>
      <c r="G12" s="51">
        <v>200</v>
      </c>
      <c r="H12" s="44"/>
      <c r="I12" s="39"/>
      <c r="J12" s="45"/>
      <c r="K12" s="50"/>
      <c r="L12" s="50"/>
      <c r="M12" s="50"/>
      <c r="N12" s="51"/>
      <c r="O12" s="52"/>
    </row>
    <row r="13" spans="1:15" ht="12.75">
      <c r="A13" s="19" t="s">
        <v>55</v>
      </c>
      <c r="B13" s="51"/>
      <c r="C13" s="51"/>
      <c r="D13" s="51">
        <f>6/6*168</f>
        <v>168</v>
      </c>
      <c r="E13" s="51">
        <f>C13+D13</f>
        <v>168</v>
      </c>
      <c r="F13" s="51"/>
      <c r="G13" s="51"/>
      <c r="H13" s="44"/>
      <c r="I13" s="39"/>
      <c r="J13" s="45"/>
      <c r="K13" s="50"/>
      <c r="L13" s="50"/>
      <c r="M13" s="50"/>
      <c r="N13" s="51"/>
      <c r="O13" s="52"/>
    </row>
    <row r="14" spans="1:15" ht="12.75">
      <c r="A14" s="15" t="s">
        <v>81</v>
      </c>
      <c r="B14" s="2">
        <f aca="true" t="shared" si="2" ref="B14:G14">SUM(B9:B13)</f>
        <v>1071</v>
      </c>
      <c r="C14" s="2">
        <f t="shared" si="2"/>
        <v>1342.8</v>
      </c>
      <c r="D14" s="2">
        <f t="shared" si="2"/>
        <v>4221.2</v>
      </c>
      <c r="E14" s="2">
        <f t="shared" si="2"/>
        <v>5564</v>
      </c>
      <c r="F14" s="2">
        <f t="shared" si="2"/>
        <v>0</v>
      </c>
      <c r="G14" s="2">
        <f t="shared" si="2"/>
        <v>450</v>
      </c>
      <c r="H14" s="44"/>
      <c r="I14" s="53"/>
      <c r="J14" s="48">
        <f aca="true" t="shared" si="3" ref="J14:O14">SUM(J9:J13)</f>
        <v>0</v>
      </c>
      <c r="K14" s="2">
        <f t="shared" si="3"/>
        <v>0</v>
      </c>
      <c r="L14" s="2">
        <f t="shared" si="3"/>
        <v>0</v>
      </c>
      <c r="M14" s="2">
        <f t="shared" si="3"/>
        <v>0</v>
      </c>
      <c r="N14" s="2">
        <f t="shared" si="3"/>
        <v>0</v>
      </c>
      <c r="O14" s="49">
        <f t="shared" si="3"/>
        <v>0</v>
      </c>
    </row>
    <row r="15" spans="1:15" ht="29.25">
      <c r="A15" s="13" t="s">
        <v>16</v>
      </c>
      <c r="B15" s="37">
        <f>500-300+400</f>
        <v>600</v>
      </c>
      <c r="C15" s="37">
        <f>B15+97</f>
        <v>697</v>
      </c>
      <c r="D15" s="37"/>
      <c r="E15" s="37">
        <f>C15+D15</f>
        <v>697</v>
      </c>
      <c r="F15" s="37"/>
      <c r="G15" s="37">
        <v>600</v>
      </c>
      <c r="H15" s="54" t="s">
        <v>98</v>
      </c>
      <c r="I15" s="55"/>
      <c r="J15" s="45"/>
      <c r="K15" s="50"/>
      <c r="L15" s="50"/>
      <c r="M15" s="50"/>
      <c r="N15" s="51"/>
      <c r="O15" s="52"/>
    </row>
    <row r="16" spans="1:15" ht="29.25">
      <c r="A16" s="13" t="s">
        <v>17</v>
      </c>
      <c r="B16" s="51">
        <f>100+2013/2013*(200+650-2013/2013*621)</f>
        <v>329</v>
      </c>
      <c r="C16" s="51">
        <f>B16+24+469-406</f>
        <v>416</v>
      </c>
      <c r="D16" s="51">
        <v>444.4</v>
      </c>
      <c r="E16" s="51">
        <f>C16+D16</f>
        <v>860.4</v>
      </c>
      <c r="F16" s="51"/>
      <c r="G16" s="51">
        <v>950</v>
      </c>
      <c r="H16" s="54" t="s">
        <v>100</v>
      </c>
      <c r="I16" s="39"/>
      <c r="J16" s="45"/>
      <c r="K16" s="50"/>
      <c r="L16" s="50"/>
      <c r="M16" s="50"/>
      <c r="N16" s="51"/>
      <c r="O16" s="52"/>
    </row>
    <row r="17" spans="1:15" ht="12.75">
      <c r="A17" s="19" t="s">
        <v>88</v>
      </c>
      <c r="B17" s="51"/>
      <c r="C17" s="51">
        <f>B17+73</f>
        <v>73</v>
      </c>
      <c r="D17" s="51">
        <f>6/6*140</f>
        <v>140</v>
      </c>
      <c r="E17" s="51">
        <f>C17+D17</f>
        <v>213</v>
      </c>
      <c r="F17" s="51"/>
      <c r="G17" s="56"/>
      <c r="H17" s="3"/>
      <c r="I17" s="39"/>
      <c r="J17" s="45"/>
      <c r="K17" s="50"/>
      <c r="L17" s="50"/>
      <c r="M17" s="50"/>
      <c r="N17" s="51"/>
      <c r="O17" s="52"/>
    </row>
    <row r="18" spans="1:15" ht="12.75">
      <c r="A18" s="15" t="s">
        <v>82</v>
      </c>
      <c r="B18" s="2">
        <f aca="true" t="shared" si="4" ref="B18:G18">SUM(B15:B17)</f>
        <v>929</v>
      </c>
      <c r="C18" s="47">
        <f t="shared" si="4"/>
        <v>1186</v>
      </c>
      <c r="D18" s="47">
        <f t="shared" si="4"/>
        <v>584.4</v>
      </c>
      <c r="E18" s="47">
        <f t="shared" si="4"/>
        <v>1770.4</v>
      </c>
      <c r="F18" s="2">
        <f t="shared" si="4"/>
        <v>0</v>
      </c>
      <c r="G18" s="2">
        <f t="shared" si="4"/>
        <v>1550</v>
      </c>
      <c r="H18" s="3"/>
      <c r="I18" s="53"/>
      <c r="J18" s="48">
        <f aca="true" t="shared" si="5" ref="J18:O18">SUM(J15:J17)</f>
        <v>0</v>
      </c>
      <c r="K18" s="2">
        <f t="shared" si="5"/>
        <v>0</v>
      </c>
      <c r="L18" s="2">
        <f t="shared" si="5"/>
        <v>0</v>
      </c>
      <c r="M18" s="2">
        <f t="shared" si="5"/>
        <v>0</v>
      </c>
      <c r="N18" s="2">
        <f t="shared" si="5"/>
        <v>0</v>
      </c>
      <c r="O18" s="49">
        <f t="shared" si="5"/>
        <v>0</v>
      </c>
    </row>
    <row r="19" spans="1:15" ht="12.75">
      <c r="A19" s="13" t="s">
        <v>18</v>
      </c>
      <c r="B19" s="56">
        <f>(1580*1.05+1-1660*0)*(1+0.015*5)+15.1*0-1700*0+5.5-1790*0+(2500+200)*0+1790*1.05+0.5-1790</f>
        <v>1880</v>
      </c>
      <c r="C19" s="57">
        <f>B19+1424+114+33</f>
        <v>3451</v>
      </c>
      <c r="D19" s="57"/>
      <c r="E19" s="57">
        <f aca="true" t="shared" si="6" ref="E19:E26">C19+D19</f>
        <v>3451</v>
      </c>
      <c r="F19" s="57"/>
      <c r="G19" s="56">
        <v>1974</v>
      </c>
      <c r="H19" s="4"/>
      <c r="I19" s="58"/>
      <c r="J19" s="59"/>
      <c r="K19" s="57"/>
      <c r="L19" s="57"/>
      <c r="M19" s="57"/>
      <c r="N19" s="57"/>
      <c r="O19" s="60"/>
    </row>
    <row r="20" spans="1:15" ht="12.75">
      <c r="A20" s="19" t="s">
        <v>89</v>
      </c>
      <c r="B20" s="57"/>
      <c r="C20" s="57"/>
      <c r="D20" s="57">
        <f>6/6*(72+92)</f>
        <v>164</v>
      </c>
      <c r="E20" s="57">
        <f t="shared" si="6"/>
        <v>164</v>
      </c>
      <c r="F20" s="57"/>
      <c r="G20" s="56"/>
      <c r="H20" s="4"/>
      <c r="I20" s="39"/>
      <c r="J20" s="45"/>
      <c r="K20" s="37"/>
      <c r="L20" s="37"/>
      <c r="M20" s="37"/>
      <c r="N20" s="37"/>
      <c r="O20" s="60"/>
    </row>
    <row r="21" spans="1:15" ht="19.5">
      <c r="A21" s="13" t="s">
        <v>19</v>
      </c>
      <c r="B21" s="56">
        <f>(3750*1.05+2.5-3940*0)*(1+0.015*5)+0.9*0-4000*0+4.5-4240+4240*1.05</f>
        <v>4452</v>
      </c>
      <c r="C21" s="57">
        <f>B21+456+8+94.4+165</f>
        <v>5175.4</v>
      </c>
      <c r="D21" s="57">
        <f>3/3*332.6+4/4*70</f>
        <v>402.6</v>
      </c>
      <c r="E21" s="57">
        <f t="shared" si="6"/>
        <v>5578</v>
      </c>
      <c r="F21" s="57"/>
      <c r="G21" s="56">
        <v>4675</v>
      </c>
      <c r="H21" s="54" t="s">
        <v>99</v>
      </c>
      <c r="I21" s="61" t="s">
        <v>67</v>
      </c>
      <c r="J21" s="59">
        <f>(537*0+2012/2012*(617*0+619))*(1397*0+1375*0+2012/2012*1360.2*0*2013/2013)/1000-0.375*0-0.2434*0+2012/2012*0.0362*0</f>
        <v>0</v>
      </c>
      <c r="K21" s="57"/>
      <c r="L21" s="57">
        <f>3/3*332.6+4/4*70</f>
        <v>402.6</v>
      </c>
      <c r="M21" s="57">
        <f>K21+L21</f>
        <v>402.6</v>
      </c>
      <c r="N21" s="57"/>
      <c r="O21" s="60"/>
    </row>
    <row r="22" spans="1:15" ht="21">
      <c r="A22" s="19" t="s">
        <v>90</v>
      </c>
      <c r="B22" s="57"/>
      <c r="C22" s="57"/>
      <c r="D22" s="57">
        <f>6/6*(90+205)</f>
        <v>295</v>
      </c>
      <c r="E22" s="57">
        <f t="shared" si="6"/>
        <v>295</v>
      </c>
      <c r="F22" s="57"/>
      <c r="G22" s="56"/>
      <c r="H22" s="4"/>
      <c r="I22" s="62"/>
      <c r="J22" s="45"/>
      <c r="K22" s="37"/>
      <c r="L22" s="37"/>
      <c r="M22" s="37"/>
      <c r="N22" s="37"/>
      <c r="O22" s="60"/>
    </row>
    <row r="23" spans="1:15" ht="21.75">
      <c r="A23" s="20" t="s">
        <v>87</v>
      </c>
      <c r="B23" s="57"/>
      <c r="C23" s="57"/>
      <c r="D23" s="57">
        <f>6/6*23/2</f>
        <v>11.5</v>
      </c>
      <c r="E23" s="57">
        <f t="shared" si="6"/>
        <v>11.5</v>
      </c>
      <c r="F23" s="57"/>
      <c r="G23" s="56"/>
      <c r="H23" s="4"/>
      <c r="I23" s="62"/>
      <c r="J23" s="45"/>
      <c r="K23" s="37"/>
      <c r="L23" s="37"/>
      <c r="M23" s="37"/>
      <c r="N23" s="37"/>
      <c r="O23" s="60"/>
    </row>
    <row r="24" spans="1:15" ht="12.75">
      <c r="A24" s="13" t="s">
        <v>20</v>
      </c>
      <c r="B24" s="56">
        <f>(1050*1.05-2.5-1100*0)*(1+0.015*5)+3.5*0-1120*0+7.5-1190+1190*1.05+0.5</f>
        <v>1250</v>
      </c>
      <c r="C24" s="57">
        <f>B24+36</f>
        <v>1286</v>
      </c>
      <c r="D24" s="57"/>
      <c r="E24" s="57">
        <f t="shared" si="6"/>
        <v>1286</v>
      </c>
      <c r="F24" s="57"/>
      <c r="G24" s="56">
        <v>1312</v>
      </c>
      <c r="H24" s="4"/>
      <c r="I24" s="63"/>
      <c r="J24" s="64"/>
      <c r="K24" s="65"/>
      <c r="L24" s="65"/>
      <c r="M24" s="65"/>
      <c r="N24" s="65"/>
      <c r="O24" s="60"/>
    </row>
    <row r="25" spans="1:15" ht="12.75">
      <c r="A25" s="13" t="s">
        <v>21</v>
      </c>
      <c r="B25" s="66"/>
      <c r="C25" s="57">
        <f>B25+6</f>
        <v>6</v>
      </c>
      <c r="D25" s="66"/>
      <c r="E25" s="57">
        <f t="shared" si="6"/>
        <v>6</v>
      </c>
      <c r="F25" s="57"/>
      <c r="G25" s="66"/>
      <c r="H25" s="4"/>
      <c r="I25" s="62"/>
      <c r="J25" s="45"/>
      <c r="K25" s="37"/>
      <c r="L25" s="67"/>
      <c r="M25" s="37"/>
      <c r="N25" s="37"/>
      <c r="O25" s="46"/>
    </row>
    <row r="26" spans="1:15" ht="21.75">
      <c r="A26" s="20" t="s">
        <v>56</v>
      </c>
      <c r="B26" s="67"/>
      <c r="C26" s="37">
        <f>B26+740.5</f>
        <v>740.5</v>
      </c>
      <c r="D26" s="37">
        <f>6/6*138.1+2012/2012*23/2+10/10*180.5</f>
        <v>330.1</v>
      </c>
      <c r="E26" s="37">
        <f t="shared" si="6"/>
        <v>1070.6</v>
      </c>
      <c r="F26" s="37"/>
      <c r="G26" s="67"/>
      <c r="H26" s="1"/>
      <c r="I26" s="62"/>
      <c r="J26" s="45"/>
      <c r="K26" s="37"/>
      <c r="L26" s="67"/>
      <c r="M26" s="37"/>
      <c r="N26" s="37"/>
      <c r="O26" s="46"/>
    </row>
    <row r="27" spans="1:15" ht="12.75">
      <c r="A27" s="15" t="s">
        <v>78</v>
      </c>
      <c r="B27" s="2">
        <f aca="true" t="shared" si="7" ref="B27:G27">SUM(B19:B26)</f>
        <v>7582</v>
      </c>
      <c r="C27" s="2">
        <f t="shared" si="7"/>
        <v>10658.9</v>
      </c>
      <c r="D27" s="68">
        <f t="shared" si="7"/>
        <v>1203.2</v>
      </c>
      <c r="E27" s="2">
        <f t="shared" si="7"/>
        <v>11862.1</v>
      </c>
      <c r="F27" s="2">
        <f t="shared" si="7"/>
        <v>0</v>
      </c>
      <c r="G27" s="68">
        <f t="shared" si="7"/>
        <v>7961</v>
      </c>
      <c r="H27" s="3"/>
      <c r="I27" s="69"/>
      <c r="J27" s="48">
        <f aca="true" t="shared" si="8" ref="J27:O27">SUM(J19:J26)</f>
        <v>0</v>
      </c>
      <c r="K27" s="2">
        <f t="shared" si="8"/>
        <v>0</v>
      </c>
      <c r="L27" s="68">
        <f t="shared" si="8"/>
        <v>402.6</v>
      </c>
      <c r="M27" s="2">
        <f t="shared" si="8"/>
        <v>402.6</v>
      </c>
      <c r="N27" s="2">
        <f t="shared" si="8"/>
        <v>0</v>
      </c>
      <c r="O27" s="49">
        <f t="shared" si="8"/>
        <v>0</v>
      </c>
    </row>
    <row r="28" spans="1:15" ht="12.75">
      <c r="A28" s="13" t="s">
        <v>22</v>
      </c>
      <c r="B28" s="37">
        <f>100+160</f>
        <v>260</v>
      </c>
      <c r="C28" s="37">
        <f>B28-6</f>
        <v>254</v>
      </c>
      <c r="D28" s="37"/>
      <c r="E28" s="37">
        <f aca="true" t="shared" si="9" ref="E28:E44">C28+D28</f>
        <v>254</v>
      </c>
      <c r="F28" s="70"/>
      <c r="G28" s="41">
        <f>100+260</f>
        <v>360</v>
      </c>
      <c r="H28" s="1"/>
      <c r="I28" s="71"/>
      <c r="J28" s="45"/>
      <c r="K28" s="37"/>
      <c r="L28" s="37"/>
      <c r="M28" s="70"/>
      <c r="N28" s="70"/>
      <c r="O28" s="42"/>
    </row>
    <row r="29" spans="1:15" ht="21">
      <c r="A29" s="19" t="s">
        <v>86</v>
      </c>
      <c r="B29" s="41"/>
      <c r="C29" s="41"/>
      <c r="D29" s="41">
        <f>6/6*(583+170)</f>
        <v>753</v>
      </c>
      <c r="E29" s="41">
        <f t="shared" si="9"/>
        <v>753</v>
      </c>
      <c r="F29" s="70"/>
      <c r="G29" s="41"/>
      <c r="H29" s="1"/>
      <c r="I29" s="71"/>
      <c r="J29" s="45"/>
      <c r="K29" s="37"/>
      <c r="L29" s="37"/>
      <c r="M29" s="70"/>
      <c r="N29" s="70"/>
      <c r="O29" s="42"/>
    </row>
    <row r="30" spans="1:15" ht="12.75">
      <c r="A30" s="20" t="s">
        <v>85</v>
      </c>
      <c r="B30" s="72"/>
      <c r="C30" s="41"/>
      <c r="D30" s="41">
        <f>6/6*36+10/10*(1/1*(54+10)+2/2*(42+26))</f>
        <v>168</v>
      </c>
      <c r="E30" s="41">
        <f t="shared" si="9"/>
        <v>168</v>
      </c>
      <c r="F30" s="73"/>
      <c r="G30" s="51"/>
      <c r="H30" s="5"/>
      <c r="I30" s="62"/>
      <c r="J30" s="45"/>
      <c r="K30" s="37"/>
      <c r="L30" s="67"/>
      <c r="M30" s="73"/>
      <c r="N30" s="73"/>
      <c r="O30" s="52"/>
    </row>
    <row r="31" spans="1:15" ht="12.75">
      <c r="A31" s="13" t="s">
        <v>23</v>
      </c>
      <c r="B31" s="74">
        <f>12*121*(12*20)/1000+1.52</f>
        <v>350</v>
      </c>
      <c r="C31" s="57">
        <f>B31</f>
        <v>350</v>
      </c>
      <c r="D31" s="57"/>
      <c r="E31" s="57">
        <f t="shared" si="9"/>
        <v>350</v>
      </c>
      <c r="F31" s="57"/>
      <c r="G31" s="74">
        <f>12*121*(12*20)/1000+1.52</f>
        <v>350</v>
      </c>
      <c r="H31" s="4"/>
      <c r="I31" s="63"/>
      <c r="J31" s="64"/>
      <c r="K31" s="65"/>
      <c r="L31" s="65"/>
      <c r="M31" s="65"/>
      <c r="N31" s="65"/>
      <c r="O31" s="75"/>
    </row>
    <row r="32" spans="1:15" ht="12.75">
      <c r="A32" s="13" t="s">
        <v>24</v>
      </c>
      <c r="B32" s="74">
        <f>2446*1.1+9.4</f>
        <v>2700.0000000000005</v>
      </c>
      <c r="C32" s="57">
        <f>B32+68-8</f>
        <v>2760.0000000000005</v>
      </c>
      <c r="D32" s="57">
        <f>10/10*36</f>
        <v>36</v>
      </c>
      <c r="E32" s="57">
        <f t="shared" si="9"/>
        <v>2796.0000000000005</v>
      </c>
      <c r="F32" s="57"/>
      <c r="G32" s="74">
        <f>3458-G28-G31</f>
        <v>2748</v>
      </c>
      <c r="H32" s="4"/>
      <c r="I32" s="63"/>
      <c r="J32" s="76">
        <f>440*1.05+8-470+500</f>
        <v>500</v>
      </c>
      <c r="K32" s="77">
        <f>J32</f>
        <v>500</v>
      </c>
      <c r="L32" s="77"/>
      <c r="M32" s="77">
        <f>K32+L32</f>
        <v>500</v>
      </c>
      <c r="N32" s="77"/>
      <c r="O32" s="78">
        <v>500</v>
      </c>
    </row>
    <row r="33" spans="1:15" ht="12.75">
      <c r="A33" s="13" t="s">
        <v>57</v>
      </c>
      <c r="B33" s="74"/>
      <c r="C33" s="57"/>
      <c r="D33" s="57">
        <f>4/4*180.3+9/9*(390+98+35)</f>
        <v>703.3</v>
      </c>
      <c r="E33" s="57">
        <f t="shared" si="9"/>
        <v>703.3</v>
      </c>
      <c r="F33" s="57"/>
      <c r="G33" s="74"/>
      <c r="H33" s="4"/>
      <c r="I33" s="61" t="s">
        <v>67</v>
      </c>
      <c r="J33" s="76"/>
      <c r="K33" s="77"/>
      <c r="L33" s="77">
        <f>4/4*180.3</f>
        <v>180.3</v>
      </c>
      <c r="M33" s="77">
        <f>K33+L33</f>
        <v>180.3</v>
      </c>
      <c r="N33" s="77"/>
      <c r="O33" s="60"/>
    </row>
    <row r="34" spans="1:15" ht="12.75">
      <c r="A34" s="13" t="s">
        <v>58</v>
      </c>
      <c r="B34" s="74"/>
      <c r="C34" s="57"/>
      <c r="D34" s="57">
        <f>4/4*50</f>
        <v>50</v>
      </c>
      <c r="E34" s="57">
        <f t="shared" si="9"/>
        <v>50</v>
      </c>
      <c r="F34" s="57"/>
      <c r="G34" s="74"/>
      <c r="H34" s="4"/>
      <c r="I34" s="61" t="s">
        <v>67</v>
      </c>
      <c r="J34" s="76"/>
      <c r="K34" s="77"/>
      <c r="L34" s="77">
        <f>4/4*50</f>
        <v>50</v>
      </c>
      <c r="M34" s="77">
        <f>K34+L34</f>
        <v>50</v>
      </c>
      <c r="N34" s="77"/>
      <c r="O34" s="60"/>
    </row>
    <row r="35" spans="1:15" ht="12.75">
      <c r="A35" s="13" t="s">
        <v>59</v>
      </c>
      <c r="B35" s="74"/>
      <c r="C35" s="57">
        <f>B35+1602+2</f>
        <v>1604</v>
      </c>
      <c r="D35" s="74"/>
      <c r="E35" s="57">
        <f t="shared" si="9"/>
        <v>1604</v>
      </c>
      <c r="F35" s="57"/>
      <c r="G35" s="74"/>
      <c r="H35" s="1"/>
      <c r="I35" s="79"/>
      <c r="J35" s="59"/>
      <c r="K35" s="57"/>
      <c r="L35" s="74"/>
      <c r="M35" s="57"/>
      <c r="N35" s="57"/>
      <c r="O35" s="80"/>
    </row>
    <row r="36" spans="1:15" ht="12.75">
      <c r="A36" s="13" t="s">
        <v>25</v>
      </c>
      <c r="B36" s="74"/>
      <c r="C36" s="57"/>
      <c r="D36" s="74"/>
      <c r="E36" s="57">
        <f t="shared" si="9"/>
        <v>0</v>
      </c>
      <c r="F36" s="57"/>
      <c r="G36" s="74"/>
      <c r="H36" s="1"/>
      <c r="I36" s="79"/>
      <c r="J36" s="59"/>
      <c r="K36" s="57"/>
      <c r="L36" s="74"/>
      <c r="M36" s="57"/>
      <c r="N36" s="57"/>
      <c r="O36" s="80"/>
    </row>
    <row r="37" spans="1:15" ht="12.75">
      <c r="A37" s="21" t="s">
        <v>26</v>
      </c>
      <c r="B37" s="74"/>
      <c r="C37" s="57"/>
      <c r="D37" s="74"/>
      <c r="E37" s="57">
        <f t="shared" si="9"/>
        <v>0</v>
      </c>
      <c r="F37" s="57"/>
      <c r="G37" s="57"/>
      <c r="H37" s="1"/>
      <c r="I37" s="79"/>
      <c r="J37" s="59"/>
      <c r="K37" s="57"/>
      <c r="L37" s="74"/>
      <c r="M37" s="57"/>
      <c r="N37" s="57"/>
      <c r="O37" s="80"/>
    </row>
    <row r="38" spans="1:15" ht="12.75">
      <c r="A38" s="13" t="s">
        <v>27</v>
      </c>
      <c r="B38" s="57">
        <v>50</v>
      </c>
      <c r="C38" s="57">
        <f>B38</f>
        <v>50</v>
      </c>
      <c r="D38" s="57"/>
      <c r="E38" s="57">
        <f t="shared" si="9"/>
        <v>50</v>
      </c>
      <c r="F38" s="57"/>
      <c r="G38" s="57">
        <f>50*0</f>
        <v>0</v>
      </c>
      <c r="H38" s="1"/>
      <c r="I38" s="39"/>
      <c r="J38" s="45"/>
      <c r="K38" s="37"/>
      <c r="L38" s="37"/>
      <c r="M38" s="37"/>
      <c r="N38" s="37"/>
      <c r="O38" s="46"/>
    </row>
    <row r="39" spans="1:15" ht="12.75">
      <c r="A39" s="13" t="s">
        <v>28</v>
      </c>
      <c r="B39" s="37">
        <v>30</v>
      </c>
      <c r="C39" s="37">
        <f>B39+7</f>
        <v>37</v>
      </c>
      <c r="D39" s="37"/>
      <c r="E39" s="37">
        <f t="shared" si="9"/>
        <v>37</v>
      </c>
      <c r="F39" s="37"/>
      <c r="G39" s="37">
        <v>30</v>
      </c>
      <c r="H39" s="1"/>
      <c r="I39" s="39"/>
      <c r="J39" s="45"/>
      <c r="K39" s="37"/>
      <c r="L39" s="37"/>
      <c r="M39" s="37"/>
      <c r="N39" s="37"/>
      <c r="O39" s="46"/>
    </row>
    <row r="40" spans="1:15" ht="12.75">
      <c r="A40" s="13" t="s">
        <v>29</v>
      </c>
      <c r="B40" s="37"/>
      <c r="C40" s="37"/>
      <c r="D40" s="37"/>
      <c r="E40" s="37">
        <f t="shared" si="9"/>
        <v>0</v>
      </c>
      <c r="F40" s="37"/>
      <c r="G40" s="37">
        <v>50</v>
      </c>
      <c r="H40" s="1"/>
      <c r="I40" s="39"/>
      <c r="J40" s="45"/>
      <c r="K40" s="37"/>
      <c r="L40" s="37"/>
      <c r="M40" s="37"/>
      <c r="N40" s="37"/>
      <c r="O40" s="46"/>
    </row>
    <row r="41" spans="1:15" ht="12.75">
      <c r="A41" s="20" t="s">
        <v>84</v>
      </c>
      <c r="B41" s="67"/>
      <c r="C41" s="37"/>
      <c r="D41" s="37">
        <f>6/6*11</f>
        <v>11</v>
      </c>
      <c r="E41" s="37">
        <f t="shared" si="9"/>
        <v>11</v>
      </c>
      <c r="F41" s="37"/>
      <c r="G41" s="37"/>
      <c r="H41" s="1"/>
      <c r="I41" s="39"/>
      <c r="J41" s="45"/>
      <c r="K41" s="37"/>
      <c r="L41" s="67"/>
      <c r="M41" s="37"/>
      <c r="N41" s="37"/>
      <c r="O41" s="46"/>
    </row>
    <row r="42" spans="1:15" ht="12.75">
      <c r="A42" s="28" t="s">
        <v>97</v>
      </c>
      <c r="B42" s="37">
        <v>0</v>
      </c>
      <c r="C42" s="37"/>
      <c r="D42" s="37">
        <v>196</v>
      </c>
      <c r="E42" s="37">
        <f t="shared" si="9"/>
        <v>196</v>
      </c>
      <c r="F42" s="37"/>
      <c r="G42" s="37"/>
      <c r="H42" s="1"/>
      <c r="I42" s="39"/>
      <c r="J42" s="45"/>
      <c r="K42" s="37"/>
      <c r="L42" s="37"/>
      <c r="M42" s="37"/>
      <c r="N42" s="37"/>
      <c r="O42" s="46"/>
    </row>
    <row r="43" spans="1:15" ht="12.75">
      <c r="A43" s="20" t="s">
        <v>60</v>
      </c>
      <c r="B43" s="67"/>
      <c r="C43" s="37"/>
      <c r="D43" s="37">
        <f>6/6*11</f>
        <v>11</v>
      </c>
      <c r="E43" s="37">
        <f t="shared" si="9"/>
        <v>11</v>
      </c>
      <c r="F43" s="37"/>
      <c r="G43" s="37"/>
      <c r="H43" s="1"/>
      <c r="I43" s="39"/>
      <c r="J43" s="45"/>
      <c r="K43" s="37"/>
      <c r="L43" s="67"/>
      <c r="M43" s="37"/>
      <c r="N43" s="37"/>
      <c r="O43" s="46"/>
    </row>
    <row r="44" spans="1:15" ht="12.75">
      <c r="A44" s="13" t="s">
        <v>30</v>
      </c>
      <c r="B44" s="37">
        <f>100+50</f>
        <v>150</v>
      </c>
      <c r="C44" s="37">
        <f>B44</f>
        <v>150</v>
      </c>
      <c r="D44" s="37">
        <f>6/6*(24+26)</f>
        <v>50</v>
      </c>
      <c r="E44" s="37">
        <f t="shared" si="9"/>
        <v>200</v>
      </c>
      <c r="F44" s="37"/>
      <c r="G44" s="37">
        <f>100+50</f>
        <v>150</v>
      </c>
      <c r="H44" s="1"/>
      <c r="I44" s="62" t="s">
        <v>68</v>
      </c>
      <c r="J44" s="45"/>
      <c r="K44" s="37"/>
      <c r="L44" s="37">
        <f>6/6*(24+26)</f>
        <v>50</v>
      </c>
      <c r="M44" s="37">
        <f>K44+L44</f>
        <v>50</v>
      </c>
      <c r="N44" s="37"/>
      <c r="O44" s="46"/>
    </row>
    <row r="45" spans="1:15" ht="12.75">
      <c r="A45" s="15" t="s">
        <v>79</v>
      </c>
      <c r="B45" s="2">
        <f aca="true" t="shared" si="10" ref="B45:G45">SUM(B28:B44)</f>
        <v>3540.0000000000005</v>
      </c>
      <c r="C45" s="47">
        <f t="shared" si="10"/>
        <v>5205</v>
      </c>
      <c r="D45" s="2">
        <f t="shared" si="10"/>
        <v>1978.3</v>
      </c>
      <c r="E45" s="2">
        <f t="shared" si="10"/>
        <v>7183.3</v>
      </c>
      <c r="F45" s="2">
        <f t="shared" si="10"/>
        <v>0</v>
      </c>
      <c r="G45" s="2">
        <f t="shared" si="10"/>
        <v>3688</v>
      </c>
      <c r="H45" s="3"/>
      <c r="I45" s="53"/>
      <c r="J45" s="48">
        <f aca="true" t="shared" si="11" ref="J45:O45">SUM(J28:J44)</f>
        <v>500</v>
      </c>
      <c r="K45" s="2">
        <f t="shared" si="11"/>
        <v>500</v>
      </c>
      <c r="L45" s="2">
        <f t="shared" si="11"/>
        <v>280.3</v>
      </c>
      <c r="M45" s="2">
        <f t="shared" si="11"/>
        <v>780.3</v>
      </c>
      <c r="N45" s="2">
        <f t="shared" si="11"/>
        <v>0</v>
      </c>
      <c r="O45" s="49">
        <f t="shared" si="11"/>
        <v>500</v>
      </c>
    </row>
    <row r="46" spans="1:15" ht="12.75">
      <c r="A46" s="13" t="s">
        <v>31</v>
      </c>
      <c r="B46" s="74">
        <f>860*0+746+3*81-3*35+500-1384+3/3*506+56-562+620</f>
        <v>620</v>
      </c>
      <c r="C46" s="57">
        <f>B46+31+19</f>
        <v>670</v>
      </c>
      <c r="D46" s="57"/>
      <c r="E46" s="57">
        <f aca="true" t="shared" si="12" ref="E46:E55">C46+D46</f>
        <v>670</v>
      </c>
      <c r="F46" s="57"/>
      <c r="G46" s="74">
        <v>624</v>
      </c>
      <c r="H46" s="4"/>
      <c r="I46" s="79"/>
      <c r="J46" s="45"/>
      <c r="K46" s="37"/>
      <c r="L46" s="37"/>
      <c r="M46" s="37"/>
      <c r="N46" s="37"/>
      <c r="O46" s="46"/>
    </row>
    <row r="47" spans="1:15" ht="12.75">
      <c r="A47" s="19" t="s">
        <v>61</v>
      </c>
      <c r="B47" s="37"/>
      <c r="C47" s="37"/>
      <c r="D47" s="37">
        <f>6/6*30</f>
        <v>30</v>
      </c>
      <c r="E47" s="37">
        <f t="shared" si="12"/>
        <v>30</v>
      </c>
      <c r="F47" s="37"/>
      <c r="G47" s="74"/>
      <c r="H47" s="4"/>
      <c r="I47" s="55"/>
      <c r="J47" s="45"/>
      <c r="K47" s="37"/>
      <c r="L47" s="37"/>
      <c r="M47" s="37"/>
      <c r="N47" s="37"/>
      <c r="O47" s="46"/>
    </row>
    <row r="48" spans="1:15" ht="12.75">
      <c r="A48" s="13" t="s">
        <v>32</v>
      </c>
      <c r="B48" s="74">
        <f>1865*0+1804+3*150-54-2200+2200*1.05</f>
        <v>2310</v>
      </c>
      <c r="C48" s="57">
        <f>B48+58-200</f>
        <v>2168</v>
      </c>
      <c r="D48" s="57">
        <f>2/2*52.6*81/81</f>
        <v>52.6</v>
      </c>
      <c r="E48" s="57">
        <f t="shared" si="12"/>
        <v>2220.6</v>
      </c>
      <c r="F48" s="57"/>
      <c r="G48" s="74">
        <v>2226</v>
      </c>
      <c r="H48" s="4"/>
      <c r="I48" s="79"/>
      <c r="J48" s="40">
        <f>123*1.05-4.15-125+150</f>
        <v>150</v>
      </c>
      <c r="K48" s="41">
        <f>J48</f>
        <v>150</v>
      </c>
      <c r="L48" s="41"/>
      <c r="M48" s="41">
        <f>K48+L48</f>
        <v>150</v>
      </c>
      <c r="N48" s="41"/>
      <c r="O48" s="81">
        <v>150</v>
      </c>
    </row>
    <row r="49" spans="1:15" ht="12.75">
      <c r="A49" s="13" t="s">
        <v>33</v>
      </c>
      <c r="B49" s="74">
        <f>710*0+(1592-44/44*583)+(5500-2010/2010*1000-2011/2011*3000)-2509+2012/2012*(3/3*(1197-67)+4/4*(1675-1150)-1655)+1600</f>
        <v>1600</v>
      </c>
      <c r="C49" s="57">
        <f>B49+8-202</f>
        <v>1406</v>
      </c>
      <c r="D49" s="57"/>
      <c r="E49" s="57">
        <f t="shared" si="12"/>
        <v>1406</v>
      </c>
      <c r="F49" s="57"/>
      <c r="G49" s="74">
        <f>1674-G50-G51</f>
        <v>1311</v>
      </c>
      <c r="H49" s="4"/>
      <c r="I49" s="79"/>
      <c r="J49" s="40">
        <f>100*1.1-110+50</f>
        <v>50.000000000000014</v>
      </c>
      <c r="K49" s="41">
        <f>J49</f>
        <v>50.000000000000014</v>
      </c>
      <c r="L49" s="41"/>
      <c r="M49" s="41">
        <f>K49+L49</f>
        <v>50.000000000000014</v>
      </c>
      <c r="N49" s="41"/>
      <c r="O49" s="81">
        <v>50</v>
      </c>
    </row>
    <row r="50" spans="1:15" ht="12.75">
      <c r="A50" s="13" t="s">
        <v>34</v>
      </c>
      <c r="B50" s="74">
        <f>12+16</f>
        <v>28</v>
      </c>
      <c r="C50" s="57">
        <f>B50</f>
        <v>28</v>
      </c>
      <c r="D50" s="57"/>
      <c r="E50" s="57">
        <f t="shared" si="12"/>
        <v>28</v>
      </c>
      <c r="F50" s="57"/>
      <c r="G50" s="74">
        <f>12+16</f>
        <v>28</v>
      </c>
      <c r="H50" s="6"/>
      <c r="I50" s="79"/>
      <c r="J50" s="45"/>
      <c r="K50" s="37"/>
      <c r="L50" s="37"/>
      <c r="M50" s="37"/>
      <c r="N50" s="37"/>
      <c r="O50" s="46"/>
    </row>
    <row r="51" spans="1:15" ht="12.75">
      <c r="A51" s="13" t="s">
        <v>35</v>
      </c>
      <c r="B51" s="37">
        <f>35+60+40+50+150-335*0</f>
        <v>335</v>
      </c>
      <c r="C51" s="37">
        <f>B51-101+64</f>
        <v>298</v>
      </c>
      <c r="D51" s="37"/>
      <c r="E51" s="37">
        <f t="shared" si="12"/>
        <v>298</v>
      </c>
      <c r="F51" s="37"/>
      <c r="G51" s="37">
        <f>35+60+40+50+150-335*0</f>
        <v>335</v>
      </c>
      <c r="H51" s="1"/>
      <c r="I51" s="79"/>
      <c r="J51" s="45"/>
      <c r="K51" s="37"/>
      <c r="L51" s="37"/>
      <c r="M51" s="37"/>
      <c r="N51" s="37"/>
      <c r="O51" s="46"/>
    </row>
    <row r="52" spans="1:15" ht="12.75">
      <c r="A52" s="19" t="s">
        <v>92</v>
      </c>
      <c r="B52" s="37"/>
      <c r="C52" s="37"/>
      <c r="D52" s="37">
        <f>6/6*(6+7)</f>
        <v>13</v>
      </c>
      <c r="E52" s="37">
        <f t="shared" si="12"/>
        <v>13</v>
      </c>
      <c r="F52" s="37"/>
      <c r="G52" s="37"/>
      <c r="H52" s="1"/>
      <c r="I52" s="55"/>
      <c r="J52" s="45"/>
      <c r="K52" s="37"/>
      <c r="L52" s="37"/>
      <c r="M52" s="37"/>
      <c r="N52" s="37"/>
      <c r="O52" s="46"/>
    </row>
    <row r="53" spans="1:15" ht="12.75">
      <c r="A53" s="20" t="s">
        <v>91</v>
      </c>
      <c r="B53" s="67"/>
      <c r="C53" s="37"/>
      <c r="D53" s="37">
        <f>6/6*63+10/10*12.5</f>
        <v>75.5</v>
      </c>
      <c r="E53" s="37">
        <f t="shared" si="12"/>
        <v>75.5</v>
      </c>
      <c r="F53" s="37"/>
      <c r="G53" s="37"/>
      <c r="H53" s="1"/>
      <c r="I53" s="39"/>
      <c r="J53" s="45"/>
      <c r="K53" s="37"/>
      <c r="L53" s="67"/>
      <c r="M53" s="37"/>
      <c r="N53" s="37"/>
      <c r="O53" s="46"/>
    </row>
    <row r="54" spans="1:15" ht="12.75">
      <c r="A54" s="13" t="s">
        <v>36</v>
      </c>
      <c r="B54" s="37"/>
      <c r="C54" s="37"/>
      <c r="D54" s="37"/>
      <c r="E54" s="37">
        <f t="shared" si="12"/>
        <v>0</v>
      </c>
      <c r="F54" s="37"/>
      <c r="G54" s="37"/>
      <c r="H54" s="1"/>
      <c r="I54" s="79"/>
      <c r="J54" s="45"/>
      <c r="K54" s="37"/>
      <c r="L54" s="37"/>
      <c r="M54" s="37"/>
      <c r="N54" s="37"/>
      <c r="O54" s="46"/>
    </row>
    <row r="55" spans="1:15" ht="12.75">
      <c r="A55" s="20" t="s">
        <v>93</v>
      </c>
      <c r="B55" s="67"/>
      <c r="C55" s="37"/>
      <c r="D55" s="37">
        <f>6/6*17</f>
        <v>17</v>
      </c>
      <c r="E55" s="37">
        <f t="shared" si="12"/>
        <v>17</v>
      </c>
      <c r="F55" s="37"/>
      <c r="G55" s="37"/>
      <c r="H55" s="1"/>
      <c r="I55" s="79"/>
      <c r="J55" s="45"/>
      <c r="K55" s="37"/>
      <c r="L55" s="37"/>
      <c r="M55" s="37"/>
      <c r="N55" s="37"/>
      <c r="O55" s="46"/>
    </row>
    <row r="56" spans="1:15" ht="12.75">
      <c r="A56" s="20"/>
      <c r="B56" s="67"/>
      <c r="C56" s="37"/>
      <c r="D56" s="37"/>
      <c r="E56" s="37"/>
      <c r="F56" s="37"/>
      <c r="G56" s="37"/>
      <c r="H56" s="1"/>
      <c r="I56" s="39"/>
      <c r="J56" s="45"/>
      <c r="K56" s="37"/>
      <c r="L56" s="37"/>
      <c r="M56" s="37"/>
      <c r="N56" s="37"/>
      <c r="O56" s="46"/>
    </row>
    <row r="57" spans="1:15" ht="12.75">
      <c r="A57" s="15" t="s">
        <v>77</v>
      </c>
      <c r="B57" s="2">
        <f aca="true" t="shared" si="13" ref="B57:G57">SUM(B46:B56)</f>
        <v>4893</v>
      </c>
      <c r="C57" s="47">
        <f t="shared" si="13"/>
        <v>4570</v>
      </c>
      <c r="D57" s="2">
        <f>SUM(D46:D56)</f>
        <v>188.1</v>
      </c>
      <c r="E57" s="2">
        <f t="shared" si="13"/>
        <v>4758.1</v>
      </c>
      <c r="F57" s="2">
        <f t="shared" si="13"/>
        <v>0</v>
      </c>
      <c r="G57" s="2">
        <f t="shared" si="13"/>
        <v>4524</v>
      </c>
      <c r="H57" s="3"/>
      <c r="I57" s="53"/>
      <c r="J57" s="48">
        <f aca="true" t="shared" si="14" ref="J57:O57">SUM(J46:J56)</f>
        <v>200</v>
      </c>
      <c r="K57" s="2">
        <f t="shared" si="14"/>
        <v>200</v>
      </c>
      <c r="L57" s="2">
        <f t="shared" si="14"/>
        <v>0</v>
      </c>
      <c r="M57" s="2">
        <f t="shared" si="14"/>
        <v>200</v>
      </c>
      <c r="N57" s="2">
        <f t="shared" si="14"/>
        <v>0</v>
      </c>
      <c r="O57" s="49">
        <f t="shared" si="14"/>
        <v>200</v>
      </c>
    </row>
    <row r="58" spans="1:15" ht="12.75">
      <c r="A58" s="13" t="s">
        <v>37</v>
      </c>
      <c r="B58" s="37">
        <v>350</v>
      </c>
      <c r="C58" s="37">
        <f>B58-104</f>
        <v>246</v>
      </c>
      <c r="D58" s="37">
        <f>6/6*177.8</f>
        <v>177.8</v>
      </c>
      <c r="E58" s="37">
        <f>C58+D58</f>
        <v>423.8</v>
      </c>
      <c r="F58" s="37"/>
      <c r="G58" s="37">
        <v>350</v>
      </c>
      <c r="H58" s="1"/>
      <c r="I58" s="62" t="s">
        <v>69</v>
      </c>
      <c r="J58" s="45"/>
      <c r="K58" s="37"/>
      <c r="L58" s="37">
        <f>6/6*177.8</f>
        <v>177.8</v>
      </c>
      <c r="M58" s="37">
        <f>K58+L58</f>
        <v>177.8</v>
      </c>
      <c r="N58" s="37"/>
      <c r="O58" s="46"/>
    </row>
    <row r="59" spans="1:15" ht="12.75">
      <c r="A59" s="14" t="s">
        <v>62</v>
      </c>
      <c r="B59" s="37"/>
      <c r="C59" s="37"/>
      <c r="D59" s="37">
        <f>6/6*148.3</f>
        <v>148.3</v>
      </c>
      <c r="E59" s="37">
        <f>C59+D59</f>
        <v>148.3</v>
      </c>
      <c r="F59" s="37"/>
      <c r="G59" s="37"/>
      <c r="H59" s="1"/>
      <c r="I59" s="62" t="s">
        <v>70</v>
      </c>
      <c r="J59" s="45"/>
      <c r="K59" s="37"/>
      <c r="L59" s="37">
        <f>6/6*148.3</f>
        <v>148.3</v>
      </c>
      <c r="M59" s="37">
        <f>K59+L59</f>
        <v>148.3</v>
      </c>
      <c r="N59" s="37"/>
      <c r="O59" s="46"/>
    </row>
    <row r="60" spans="1:15" ht="12.75">
      <c r="A60" s="15" t="s">
        <v>76</v>
      </c>
      <c r="B60" s="2">
        <f aca="true" t="shared" si="15" ref="B60:G60">SUM(B58:B59)</f>
        <v>350</v>
      </c>
      <c r="C60" s="2">
        <f t="shared" si="15"/>
        <v>246</v>
      </c>
      <c r="D60" s="2">
        <f>SUM(D58:D59)</f>
        <v>326.1</v>
      </c>
      <c r="E60" s="2">
        <f t="shared" si="15"/>
        <v>572.1</v>
      </c>
      <c r="F60" s="2">
        <f t="shared" si="15"/>
        <v>0</v>
      </c>
      <c r="G60" s="2">
        <f t="shared" si="15"/>
        <v>350</v>
      </c>
      <c r="H60" s="3"/>
      <c r="I60" s="69"/>
      <c r="J60" s="48">
        <f aca="true" t="shared" si="16" ref="J60:O60">SUM(J58:J59)</f>
        <v>0</v>
      </c>
      <c r="K60" s="2">
        <f t="shared" si="16"/>
        <v>0</v>
      </c>
      <c r="L60" s="2">
        <f t="shared" si="16"/>
        <v>326.1</v>
      </c>
      <c r="M60" s="2">
        <f t="shared" si="16"/>
        <v>326.1</v>
      </c>
      <c r="N60" s="2">
        <f t="shared" si="16"/>
        <v>0</v>
      </c>
      <c r="O60" s="49">
        <f t="shared" si="16"/>
        <v>0</v>
      </c>
    </row>
    <row r="61" spans="1:15" ht="34.5" customHeight="1">
      <c r="A61" s="13" t="s">
        <v>38</v>
      </c>
      <c r="B61" s="74">
        <f>(5000-2000-3000)+2012/2012*5000*0+2013/2013*((10000-5000)+500)</f>
        <v>5500</v>
      </c>
      <c r="C61" s="57">
        <f>B61+1773.1</f>
        <v>7273.1</v>
      </c>
      <c r="D61" s="57"/>
      <c r="E61" s="57">
        <f>C61+D61</f>
        <v>7273.1</v>
      </c>
      <c r="F61" s="57"/>
      <c r="G61" s="74">
        <v>5500</v>
      </c>
      <c r="H61" s="82" t="s">
        <v>101</v>
      </c>
      <c r="I61" s="63"/>
      <c r="J61" s="76">
        <f>10000*0+(1350*12-16200)*0+(87694-66438)-21256/2+1372-12000</f>
        <v>0</v>
      </c>
      <c r="K61" s="77"/>
      <c r="L61" s="77"/>
      <c r="M61" s="77"/>
      <c r="N61" s="77"/>
      <c r="O61" s="78">
        <f>10000*0+(1350*12-16200)*0+(87694-66438)-21256/2+1372-12000</f>
        <v>0</v>
      </c>
    </row>
    <row r="62" spans="1:15" ht="12.75">
      <c r="A62" s="19" t="s">
        <v>94</v>
      </c>
      <c r="B62" s="77"/>
      <c r="C62" s="77"/>
      <c r="D62" s="77">
        <f>6/6*436.9</f>
        <v>436.9</v>
      </c>
      <c r="E62" s="77">
        <f>C62+D62</f>
        <v>436.9</v>
      </c>
      <c r="F62" s="77"/>
      <c r="G62" s="74"/>
      <c r="H62" s="54"/>
      <c r="I62" s="71"/>
      <c r="J62" s="45"/>
      <c r="K62" s="37"/>
      <c r="L62" s="37"/>
      <c r="M62" s="37"/>
      <c r="N62" s="37"/>
      <c r="O62" s="78"/>
    </row>
    <row r="63" spans="1:15" ht="12.75">
      <c r="A63" s="13" t="s">
        <v>39</v>
      </c>
      <c r="B63" s="74">
        <f>(6000*0+6300)*(1.05*0+1.1*0+1.15)-315*0-630*0+55-1000*0-7300*0</f>
        <v>7299.999999999999</v>
      </c>
      <c r="C63" s="57">
        <f>B63+610+2</f>
        <v>7911.999999999999</v>
      </c>
      <c r="D63" s="57"/>
      <c r="E63" s="57">
        <f>C63+D63</f>
        <v>7911.999999999999</v>
      </c>
      <c r="F63" s="57"/>
      <c r="G63" s="74">
        <v>7665</v>
      </c>
      <c r="H63" s="4"/>
      <c r="I63" s="63"/>
      <c r="J63" s="64"/>
      <c r="K63" s="65"/>
      <c r="L63" s="65"/>
      <c r="M63" s="65"/>
      <c r="N63" s="65"/>
      <c r="O63" s="75"/>
    </row>
    <row r="64" spans="1:15" ht="12.75">
      <c r="A64" s="15" t="s">
        <v>40</v>
      </c>
      <c r="B64" s="2">
        <f aca="true" t="shared" si="17" ref="B64:G64">SUM(B61:B63)</f>
        <v>12800</v>
      </c>
      <c r="C64" s="47">
        <f t="shared" si="17"/>
        <v>15185.099999999999</v>
      </c>
      <c r="D64" s="2">
        <f t="shared" si="17"/>
        <v>436.9</v>
      </c>
      <c r="E64" s="2">
        <f t="shared" si="17"/>
        <v>15622</v>
      </c>
      <c r="F64" s="2">
        <f t="shared" si="17"/>
        <v>0</v>
      </c>
      <c r="G64" s="2">
        <f t="shared" si="17"/>
        <v>13165</v>
      </c>
      <c r="H64" s="3"/>
      <c r="I64" s="69"/>
      <c r="J64" s="48">
        <f aca="true" t="shared" si="18" ref="J64:O64">SUM(J61:J63)</f>
        <v>0</v>
      </c>
      <c r="K64" s="2">
        <f t="shared" si="18"/>
        <v>0</v>
      </c>
      <c r="L64" s="2">
        <f t="shared" si="18"/>
        <v>0</v>
      </c>
      <c r="M64" s="2">
        <f t="shared" si="18"/>
        <v>0</v>
      </c>
      <c r="N64" s="2">
        <f t="shared" si="18"/>
        <v>0</v>
      </c>
      <c r="O64" s="49">
        <f t="shared" si="18"/>
        <v>0</v>
      </c>
    </row>
    <row r="65" spans="1:15" ht="12.75">
      <c r="A65" s="13" t="s">
        <v>41</v>
      </c>
      <c r="B65" s="83">
        <f>2276*1.025+0.1-2333+175*12*(1.09-0.09)+50+150-2300*0</f>
        <v>2299.9999999999995</v>
      </c>
      <c r="C65" s="57">
        <f>B65+40-17</f>
        <v>2322.9999999999995</v>
      </c>
      <c r="D65" s="57"/>
      <c r="E65" s="57">
        <f aca="true" t="shared" si="19" ref="E65:E76">C65+D65</f>
        <v>2322.9999999999995</v>
      </c>
      <c r="F65" s="57"/>
      <c r="G65" s="74">
        <v>2707</v>
      </c>
      <c r="H65" s="3"/>
      <c r="I65" s="84" t="s">
        <v>3</v>
      </c>
      <c r="J65" s="64">
        <f>100</f>
        <v>100</v>
      </c>
      <c r="K65" s="65">
        <f>J65</f>
        <v>100</v>
      </c>
      <c r="L65" s="65"/>
      <c r="M65" s="65">
        <f>K65+L65</f>
        <v>100</v>
      </c>
      <c r="N65" s="65"/>
      <c r="O65" s="75">
        <f>100</f>
        <v>100</v>
      </c>
    </row>
    <row r="66" spans="1:15" ht="12.75">
      <c r="A66" s="13" t="s">
        <v>42</v>
      </c>
      <c r="B66" s="85">
        <f>2011/2011*(48725*1.025-43.125-49900)+2012/2012*(47914*1.015-32.7)-98116/98116*(12*((24.79+24.01+21.37+22.09+20.09)-0.35-112*0-1344*0)*(1+0.09+0.25)+0.05+1801*0-732/732*210/2*0-1)-46800+(1/1*(899+200)+2/2*(552-92))+3/3*(41901-835+377-712+99-308+36-4068)+4/4*(7471+94+44-343+3000*0+1000*0+90+2000*0-1500)+5/5*111+6/6*152+7/7*32+10/10*(6059-1571)-48688+2013/2013*(85700-40632-130)</f>
        <v>44937.999999999985</v>
      </c>
      <c r="C66" s="57">
        <f>B66-1527-1927+333.9-3075.7</f>
        <v>38742.19999999999</v>
      </c>
      <c r="D66" s="57">
        <f>10/10*13101/13101*(22.8+25.6)+11/11*26.8</f>
        <v>75.2</v>
      </c>
      <c r="E66" s="57">
        <f t="shared" si="19"/>
        <v>38817.39999999999</v>
      </c>
      <c r="F66" s="57"/>
      <c r="G66" s="85">
        <f>46783-SUM(G67:G76)</f>
        <v>42616</v>
      </c>
      <c r="H66" s="3"/>
      <c r="I66" s="86" t="s">
        <v>4</v>
      </c>
      <c r="J66" s="59">
        <f>18478*0+2011/2011*16653*0+2012/2012*(15758+(1250*0+408+842))*0+2013/2013*(15772-0-0)-J19-J21</f>
        <v>15772</v>
      </c>
      <c r="K66" s="57">
        <f>J66</f>
        <v>15772</v>
      </c>
      <c r="L66" s="57">
        <f>1/1*261.2+11/11*254.1</f>
        <v>515.3</v>
      </c>
      <c r="M66" s="57">
        <f>K66+L66</f>
        <v>16287.3</v>
      </c>
      <c r="N66" s="57"/>
      <c r="O66" s="60">
        <v>15917</v>
      </c>
    </row>
    <row r="67" spans="1:15" ht="12.75">
      <c r="A67" s="19" t="s">
        <v>63</v>
      </c>
      <c r="B67" s="57"/>
      <c r="C67" s="57"/>
      <c r="D67" s="57">
        <f>6/6*((7+70)+45+218+3+18)</f>
        <v>361</v>
      </c>
      <c r="E67" s="57">
        <f t="shared" si="19"/>
        <v>361</v>
      </c>
      <c r="F67" s="57"/>
      <c r="G67" s="85"/>
      <c r="H67" s="3"/>
      <c r="I67" s="71"/>
      <c r="J67" s="45"/>
      <c r="K67" s="37"/>
      <c r="L67" s="37"/>
      <c r="M67" s="37"/>
      <c r="N67" s="37"/>
      <c r="O67" s="60"/>
    </row>
    <row r="68" spans="1:15" ht="12.75">
      <c r="A68" s="13" t="s">
        <v>64</v>
      </c>
      <c r="B68" s="85"/>
      <c r="C68" s="57"/>
      <c r="D68" s="57">
        <f>(4/4+10/10)*817.2</f>
        <v>1634.4</v>
      </c>
      <c r="E68" s="57">
        <f t="shared" si="19"/>
        <v>1634.4</v>
      </c>
      <c r="F68" s="57"/>
      <c r="G68" s="85"/>
      <c r="H68" s="3"/>
      <c r="I68" s="86" t="s">
        <v>71</v>
      </c>
      <c r="J68" s="59"/>
      <c r="K68" s="57"/>
      <c r="L68" s="57">
        <f>9/9*(390+98+35)+(4/4+10/10)*817.2+11/11*196+13101/13101*(10/10*(22.8+25.6)+11/11*26.8)</f>
        <v>2428.6</v>
      </c>
      <c r="M68" s="57">
        <f aca="true" t="shared" si="20" ref="M68:M76">K68+L68</f>
        <v>2428.6</v>
      </c>
      <c r="N68" s="57"/>
      <c r="O68" s="80"/>
    </row>
    <row r="69" spans="1:15" ht="12.75">
      <c r="A69" s="13" t="s">
        <v>65</v>
      </c>
      <c r="B69" s="85"/>
      <c r="C69" s="57"/>
      <c r="D69" s="57">
        <f>4/4*96</f>
        <v>96</v>
      </c>
      <c r="E69" s="57">
        <f t="shared" si="19"/>
        <v>96</v>
      </c>
      <c r="F69" s="57"/>
      <c r="G69" s="85"/>
      <c r="H69" s="3"/>
      <c r="I69" s="86" t="s">
        <v>67</v>
      </c>
      <c r="J69" s="59"/>
      <c r="K69" s="57"/>
      <c r="L69" s="57">
        <f>4/4*96</f>
        <v>96</v>
      </c>
      <c r="M69" s="57">
        <f t="shared" si="20"/>
        <v>96</v>
      </c>
      <c r="N69" s="57"/>
      <c r="O69" s="80"/>
    </row>
    <row r="70" spans="1:15" ht="12.75">
      <c r="A70" s="22" t="s">
        <v>66</v>
      </c>
      <c r="B70" s="85"/>
      <c r="C70" s="57"/>
      <c r="D70" s="57">
        <f>6/6*1409.7</f>
        <v>1409.7</v>
      </c>
      <c r="E70" s="57">
        <f t="shared" si="19"/>
        <v>1409.7</v>
      </c>
      <c r="F70" s="57"/>
      <c r="G70" s="85"/>
      <c r="H70" s="3"/>
      <c r="I70" s="62" t="s">
        <v>70</v>
      </c>
      <c r="J70" s="59"/>
      <c r="K70" s="57"/>
      <c r="L70" s="57">
        <f>6/6*1409.7+10/10*(98011/98011*53.2+97/97*(320.8+123.6))</f>
        <v>1907.3</v>
      </c>
      <c r="M70" s="57">
        <f t="shared" si="20"/>
        <v>1907.3</v>
      </c>
      <c r="N70" s="57"/>
      <c r="O70" s="80"/>
    </row>
    <row r="71" spans="1:15" ht="12.75">
      <c r="A71" s="16" t="s">
        <v>43</v>
      </c>
      <c r="B71" s="57">
        <f>583-62+523+262/2-1175*0</f>
        <v>1175</v>
      </c>
      <c r="C71" s="57">
        <f>B71-180</f>
        <v>995</v>
      </c>
      <c r="D71" s="57"/>
      <c r="E71" s="57">
        <f t="shared" si="19"/>
        <v>995</v>
      </c>
      <c r="F71" s="57"/>
      <c r="G71" s="57">
        <f>583-62+523+262/2-1175*0</f>
        <v>1175</v>
      </c>
      <c r="H71" s="3"/>
      <c r="I71" s="71" t="s">
        <v>5</v>
      </c>
      <c r="J71" s="45"/>
      <c r="K71" s="37"/>
      <c r="L71" s="37"/>
      <c r="M71" s="37">
        <f t="shared" si="20"/>
        <v>0</v>
      </c>
      <c r="N71" s="37"/>
      <c r="O71" s="46"/>
    </row>
    <row r="72" spans="1:15" ht="19.5">
      <c r="A72" s="13" t="s">
        <v>44</v>
      </c>
      <c r="B72" s="37">
        <f>(3113/3113*(5000-3500)+6171/6171*((4000-3612/3612*B61)+2000-2500))*0+2012/2012*(3000+1000+2000-6000)+2013/2013*(1500)</f>
        <v>1500</v>
      </c>
      <c r="C72" s="37">
        <f>B72-131</f>
        <v>1369</v>
      </c>
      <c r="D72" s="37"/>
      <c r="E72" s="37">
        <f t="shared" si="19"/>
        <v>1369</v>
      </c>
      <c r="F72" s="37"/>
      <c r="G72" s="37">
        <f>(3113/3113*(5000-3500)+6171/6171*((4000-3612/3612*G61)+2000-2500))*0+2012/2012*(3000+1000+2000-6000)+2013/2013*(1500)</f>
        <v>1500</v>
      </c>
      <c r="H72" s="87" t="s">
        <v>103</v>
      </c>
      <c r="I72" s="62" t="s">
        <v>105</v>
      </c>
      <c r="J72" s="45">
        <f>300*0+2012/2012*500</f>
        <v>500</v>
      </c>
      <c r="K72" s="37">
        <f>J72</f>
        <v>500</v>
      </c>
      <c r="L72" s="37"/>
      <c r="M72" s="37">
        <f>K72+L72</f>
        <v>500</v>
      </c>
      <c r="N72" s="37"/>
      <c r="O72" s="46">
        <v>500</v>
      </c>
    </row>
    <row r="73" spans="1:15" ht="12.75">
      <c r="A73" s="13" t="s">
        <v>45</v>
      </c>
      <c r="B73" s="37">
        <f>150*0+400</f>
        <v>400</v>
      </c>
      <c r="C73" s="37">
        <f>B73+47</f>
        <v>447</v>
      </c>
      <c r="D73" s="37"/>
      <c r="E73" s="37">
        <f t="shared" si="19"/>
        <v>447</v>
      </c>
      <c r="F73" s="37"/>
      <c r="G73" s="37">
        <f>150*0+400</f>
        <v>400</v>
      </c>
      <c r="H73" s="5"/>
      <c r="I73" s="62" t="s">
        <v>106</v>
      </c>
      <c r="J73" s="45"/>
      <c r="K73" s="37">
        <f>J73+1050+180+30</f>
        <v>1260</v>
      </c>
      <c r="L73" s="37"/>
      <c r="M73" s="37">
        <f t="shared" si="20"/>
        <v>1260</v>
      </c>
      <c r="N73" s="37"/>
      <c r="O73" s="46"/>
    </row>
    <row r="74" spans="1:15" ht="12.75">
      <c r="A74" s="19" t="s">
        <v>95</v>
      </c>
      <c r="B74" s="37"/>
      <c r="C74" s="37"/>
      <c r="D74" s="37">
        <f>6/6*(8+8+5+(12+3))</f>
        <v>36</v>
      </c>
      <c r="E74" s="37">
        <f t="shared" si="19"/>
        <v>36</v>
      </c>
      <c r="F74" s="37"/>
      <c r="G74" s="37"/>
      <c r="H74" s="5"/>
      <c r="I74" s="71"/>
      <c r="J74" s="45"/>
      <c r="K74" s="37"/>
      <c r="L74" s="37"/>
      <c r="M74" s="37">
        <f t="shared" si="20"/>
        <v>0</v>
      </c>
      <c r="N74" s="37"/>
      <c r="O74" s="46"/>
    </row>
    <row r="75" spans="1:15" ht="12.75">
      <c r="A75" s="13" t="s">
        <v>46</v>
      </c>
      <c r="B75" s="37">
        <f>16/16*(509+101)+(77+50)+352+3-1092*0</f>
        <v>1092</v>
      </c>
      <c r="C75" s="37">
        <f>B75-740.5</f>
        <v>351.5</v>
      </c>
      <c r="D75" s="37"/>
      <c r="E75" s="37">
        <f t="shared" si="19"/>
        <v>351.5</v>
      </c>
      <c r="F75" s="37"/>
      <c r="G75" s="37">
        <f>16/16*(509+101)+(77+50)+352+3-1092*0</f>
        <v>1092</v>
      </c>
      <c r="H75" s="1"/>
      <c r="I75" s="62" t="s">
        <v>6</v>
      </c>
      <c r="J75" s="40">
        <f>160*0+2012/2012*200*0+250-103/103*2119/2119*250</f>
        <v>0</v>
      </c>
      <c r="K75" s="41"/>
      <c r="L75" s="41"/>
      <c r="M75" s="41">
        <f t="shared" si="20"/>
        <v>0</v>
      </c>
      <c r="N75" s="41"/>
      <c r="O75" s="42"/>
    </row>
    <row r="76" spans="1:15" ht="12.75">
      <c r="A76" s="13" t="s">
        <v>47</v>
      </c>
      <c r="B76" s="41"/>
      <c r="C76" s="41"/>
      <c r="D76" s="41">
        <f>1/1*261.2+11/11*254.1</f>
        <v>515.3</v>
      </c>
      <c r="E76" s="41">
        <f t="shared" si="19"/>
        <v>515.3</v>
      </c>
      <c r="F76" s="41"/>
      <c r="G76" s="41"/>
      <c r="H76" s="1"/>
      <c r="I76" s="62" t="s">
        <v>107</v>
      </c>
      <c r="J76" s="45"/>
      <c r="K76" s="37">
        <f>J76+43+40+69+30</f>
        <v>182</v>
      </c>
      <c r="L76" s="37"/>
      <c r="M76" s="37">
        <f t="shared" si="20"/>
        <v>182</v>
      </c>
      <c r="N76" s="37"/>
      <c r="O76" s="46"/>
    </row>
    <row r="77" spans="1:16" ht="12.75">
      <c r="A77" s="15" t="s">
        <v>83</v>
      </c>
      <c r="B77" s="2">
        <f aca="true" t="shared" si="21" ref="B77:G77">SUM(B65:B76)</f>
        <v>51404.999999999985</v>
      </c>
      <c r="C77" s="47">
        <f t="shared" si="21"/>
        <v>44227.69999999999</v>
      </c>
      <c r="D77" s="2">
        <f>SUM(D65:D76)</f>
        <v>4127.6</v>
      </c>
      <c r="E77" s="2">
        <f t="shared" si="21"/>
        <v>48355.29999999999</v>
      </c>
      <c r="F77" s="2">
        <f t="shared" si="21"/>
        <v>0</v>
      </c>
      <c r="G77" s="2">
        <f t="shared" si="21"/>
        <v>49490</v>
      </c>
      <c r="H77" s="5"/>
      <c r="I77" s="53"/>
      <c r="J77" s="48">
        <f aca="true" t="shared" si="22" ref="J77:O77">SUM(J65:J76)</f>
        <v>16372</v>
      </c>
      <c r="K77" s="2">
        <f t="shared" si="22"/>
        <v>17814</v>
      </c>
      <c r="L77" s="2">
        <f t="shared" si="22"/>
        <v>4947.2</v>
      </c>
      <c r="M77" s="2">
        <f t="shared" si="22"/>
        <v>22761.199999999997</v>
      </c>
      <c r="N77" s="2">
        <f t="shared" si="22"/>
        <v>0</v>
      </c>
      <c r="O77" s="49">
        <f t="shared" si="22"/>
        <v>16517</v>
      </c>
      <c r="P77" s="27">
        <f>22761.2-M77</f>
        <v>0</v>
      </c>
    </row>
    <row r="78" spans="1:15" ht="12.75">
      <c r="A78" s="13"/>
      <c r="B78" s="37"/>
      <c r="C78" s="37"/>
      <c r="D78" s="37"/>
      <c r="E78" s="37"/>
      <c r="F78" s="37"/>
      <c r="G78" s="37"/>
      <c r="H78" s="88"/>
      <c r="I78" s="62" t="s">
        <v>7</v>
      </c>
      <c r="J78" s="89">
        <f>((250+35+520+13+250+1300)+32-2400)*0+(2013/2013*(250+10+560+(8+3)+250)+(250*4-2078)*0)</f>
        <v>1081</v>
      </c>
      <c r="K78" s="90">
        <f>J78-253</f>
        <v>828</v>
      </c>
      <c r="L78" s="90"/>
      <c r="M78" s="90">
        <f aca="true" t="shared" si="23" ref="M78:M87">K78+L78</f>
        <v>828</v>
      </c>
      <c r="N78" s="90"/>
      <c r="O78" s="91">
        <f>250+10+560+11+250</f>
        <v>1081</v>
      </c>
    </row>
    <row r="79" spans="1:15" ht="12.75">
      <c r="A79" s="13"/>
      <c r="B79" s="90"/>
      <c r="C79" s="90"/>
      <c r="D79" s="90"/>
      <c r="E79" s="90"/>
      <c r="F79" s="90"/>
      <c r="G79" s="90"/>
      <c r="H79" s="88"/>
      <c r="I79" s="62" t="s">
        <v>8</v>
      </c>
      <c r="J79" s="45">
        <f>2700*1.035+5.5-2800+1800</f>
        <v>1800</v>
      </c>
      <c r="K79" s="37">
        <f>J79+350</f>
        <v>2150</v>
      </c>
      <c r="L79" s="37"/>
      <c r="M79" s="37">
        <f t="shared" si="23"/>
        <v>2150</v>
      </c>
      <c r="N79" s="37"/>
      <c r="O79" s="46">
        <f>2700*1.035+5.5-2800+1800</f>
        <v>1800</v>
      </c>
    </row>
    <row r="80" spans="1:15" ht="12.75">
      <c r="A80" s="13"/>
      <c r="B80" s="37"/>
      <c r="C80" s="37"/>
      <c r="D80" s="37"/>
      <c r="E80" s="37"/>
      <c r="F80" s="37"/>
      <c r="G80" s="37"/>
      <c r="H80" s="1"/>
      <c r="I80" s="62" t="s">
        <v>9</v>
      </c>
      <c r="J80" s="45">
        <f>5000*0+9200*0+2012/2012*8700*2013/2013</f>
        <v>8700</v>
      </c>
      <c r="K80" s="37">
        <f>J80</f>
        <v>8700</v>
      </c>
      <c r="L80" s="37"/>
      <c r="M80" s="37">
        <f t="shared" si="23"/>
        <v>8700</v>
      </c>
      <c r="N80" s="37"/>
      <c r="O80" s="46">
        <v>7500</v>
      </c>
    </row>
    <row r="81" spans="1:15" ht="12.75">
      <c r="A81" s="13"/>
      <c r="B81" s="37"/>
      <c r="C81" s="37"/>
      <c r="D81" s="37"/>
      <c r="E81" s="37"/>
      <c r="F81" s="37"/>
      <c r="G81" s="37"/>
      <c r="H81" s="5"/>
      <c r="I81" s="62" t="s">
        <v>10</v>
      </c>
      <c r="J81" s="59">
        <f>8408*3.728472883*0+31120*0+2012/2012*(38243.68+0.32)*0+2013/2013*(37797*0+37667)</f>
        <v>37667</v>
      </c>
      <c r="K81" s="57">
        <f>J81</f>
        <v>37667</v>
      </c>
      <c r="L81" s="57">
        <f>81/81*(1/1*4000+2/2*52.6)</f>
        <v>4052.6</v>
      </c>
      <c r="M81" s="57">
        <f t="shared" si="23"/>
        <v>41719.6</v>
      </c>
      <c r="N81" s="57"/>
      <c r="O81" s="60">
        <v>37330</v>
      </c>
    </row>
    <row r="82" spans="1:15" ht="12.75">
      <c r="A82" s="13"/>
      <c r="B82" s="57"/>
      <c r="C82" s="57"/>
      <c r="D82" s="57"/>
      <c r="E82" s="57"/>
      <c r="F82" s="57"/>
      <c r="G82" s="57"/>
      <c r="H82" s="1"/>
      <c r="I82" s="62" t="s">
        <v>72</v>
      </c>
      <c r="J82" s="45"/>
      <c r="K82" s="37"/>
      <c r="L82" s="37">
        <f>6/6*2756.9</f>
        <v>2756.9</v>
      </c>
      <c r="M82" s="37">
        <f t="shared" si="23"/>
        <v>2756.9</v>
      </c>
      <c r="N82" s="37"/>
      <c r="O82" s="46"/>
    </row>
    <row r="83" spans="1:15" ht="12.75">
      <c r="A83" s="13"/>
      <c r="B83" s="37"/>
      <c r="C83" s="37"/>
      <c r="D83" s="37"/>
      <c r="E83" s="37"/>
      <c r="F83" s="37"/>
      <c r="G83" s="37"/>
      <c r="H83" s="1"/>
      <c r="I83" s="62" t="s">
        <v>108</v>
      </c>
      <c r="J83" s="45"/>
      <c r="K83" s="37"/>
      <c r="L83" s="37">
        <f>6/6*(138.1+138)+10/10*(4/4*(138.8+41.7)+5/5*(36+1/1*(54+10)+2/2*(42+26))+6/6*12.5)</f>
        <v>637.1</v>
      </c>
      <c r="M83" s="37">
        <f t="shared" si="23"/>
        <v>637.1</v>
      </c>
      <c r="N83" s="37"/>
      <c r="O83" s="46"/>
    </row>
    <row r="84" spans="1:15" ht="12.75">
      <c r="A84" s="13"/>
      <c r="B84" s="37"/>
      <c r="C84" s="37"/>
      <c r="D84" s="37"/>
      <c r="E84" s="37"/>
      <c r="F84" s="37"/>
      <c r="G84" s="37"/>
      <c r="H84" s="1"/>
      <c r="I84" s="62" t="s">
        <v>11</v>
      </c>
      <c r="J84" s="59">
        <f>3000*0+21256/2*2-J61-9256*0+3000-12256+2012/2012*(3612/3612*5000+3688)-20688+(8000+1490*12*(50%*0+60%)+60*0+272-50/50*17000*0-60/60*19000*0)</f>
        <v>19000</v>
      </c>
      <c r="K84" s="57">
        <f>J84-4725.4</f>
        <v>14274.6</v>
      </c>
      <c r="L84" s="57"/>
      <c r="M84" s="57">
        <f t="shared" si="23"/>
        <v>14274.6</v>
      </c>
      <c r="N84" s="57"/>
      <c r="O84" s="60">
        <v>19000</v>
      </c>
    </row>
    <row r="85" spans="1:15" ht="12.75">
      <c r="A85" s="13"/>
      <c r="B85" s="57"/>
      <c r="C85" s="57"/>
      <c r="D85" s="57"/>
      <c r="E85" s="57"/>
      <c r="F85" s="57"/>
      <c r="G85" s="57"/>
      <c r="H85" s="1"/>
      <c r="I85" s="62" t="s">
        <v>73</v>
      </c>
      <c r="J85" s="59"/>
      <c r="K85" s="57">
        <f>0+297.9</f>
        <v>297.9</v>
      </c>
      <c r="L85" s="57"/>
      <c r="M85" s="57">
        <f t="shared" si="23"/>
        <v>297.9</v>
      </c>
      <c r="N85" s="57"/>
      <c r="O85" s="80"/>
    </row>
    <row r="86" spans="1:15" ht="12.75">
      <c r="A86" s="13"/>
      <c r="B86" s="57"/>
      <c r="C86" s="57"/>
      <c r="D86" s="57"/>
      <c r="E86" s="57"/>
      <c r="F86" s="57"/>
      <c r="G86" s="57"/>
      <c r="H86" s="1"/>
      <c r="I86" s="92" t="s">
        <v>96</v>
      </c>
      <c r="J86" s="93"/>
      <c r="K86" s="94"/>
      <c r="L86" s="95">
        <f>((-154900*0-81/81*((106232.2*0+(4200000-4169401.8*0-4093767.8)-32.2)+(120000-83380-20)+(50000-38492-8)+(1341/1341*(462.5+37.5)+1342/1342*(67.5+32.5)))+(2600*0-(5512/5512*(7210-10)+98193/98193*(-9772.6-27.4)+2600*0)))*0+23000)/1000</f>
        <v>23</v>
      </c>
      <c r="M86" s="37">
        <f t="shared" si="23"/>
        <v>23</v>
      </c>
      <c r="N86" s="37"/>
      <c r="O86" s="46"/>
    </row>
    <row r="87" spans="1:15" ht="12.75">
      <c r="A87" s="13"/>
      <c r="B87" s="37"/>
      <c r="C87" s="37"/>
      <c r="D87" s="37"/>
      <c r="E87" s="37"/>
      <c r="F87" s="37"/>
      <c r="G87" s="37"/>
      <c r="H87" s="1"/>
      <c r="I87" s="96" t="s">
        <v>74</v>
      </c>
      <c r="J87" s="93"/>
      <c r="K87" s="94"/>
      <c r="L87" s="95">
        <f>(-154900*0-81/81*((106232.2*0+(4200000-4169401.8*0-4093767.8)-32.2)+(120000-83380-20)+(50000-38492-8)+(1341/1341*(462.5+37.5)+1342/1342*(67.5+32.5)))+(2600*0-(5512/5512*(7210-10)+98193/98193*(-9772.6-27.4)+2600*0))+23000*0)/1000+11/11*211.8</f>
        <v>59.49999999999983</v>
      </c>
      <c r="M87" s="37">
        <f t="shared" si="23"/>
        <v>59.49999999999983</v>
      </c>
      <c r="N87" s="37"/>
      <c r="O87" s="46"/>
    </row>
    <row r="88" spans="1:15" ht="12.75">
      <c r="A88" s="15" t="s">
        <v>48</v>
      </c>
      <c r="B88" s="2">
        <f aca="true" t="shared" si="24" ref="B88:G88">SUM(B78:B87)</f>
        <v>0</v>
      </c>
      <c r="C88" s="2">
        <f t="shared" si="24"/>
        <v>0</v>
      </c>
      <c r="D88" s="2">
        <f t="shared" si="24"/>
        <v>0</v>
      </c>
      <c r="E88" s="2">
        <f t="shared" si="24"/>
        <v>0</v>
      </c>
      <c r="F88" s="2">
        <f t="shared" si="24"/>
        <v>0</v>
      </c>
      <c r="G88" s="2">
        <f t="shared" si="24"/>
        <v>0</v>
      </c>
      <c r="H88" s="3"/>
      <c r="I88" s="39"/>
      <c r="J88" s="48">
        <f aca="true" t="shared" si="25" ref="J88:O88">SUM(J78:J87)</f>
        <v>68248</v>
      </c>
      <c r="K88" s="2">
        <f t="shared" si="25"/>
        <v>63917.5</v>
      </c>
      <c r="L88" s="2">
        <f t="shared" si="25"/>
        <v>7529.1</v>
      </c>
      <c r="M88" s="2">
        <f t="shared" si="25"/>
        <v>71446.59999999999</v>
      </c>
      <c r="N88" s="2">
        <f t="shared" si="25"/>
        <v>0</v>
      </c>
      <c r="O88" s="49">
        <f t="shared" si="25"/>
        <v>66711</v>
      </c>
    </row>
    <row r="89" spans="1:15" ht="12.75">
      <c r="A89" s="13"/>
      <c r="B89" s="50"/>
      <c r="C89" s="50"/>
      <c r="D89" s="50"/>
      <c r="E89" s="50"/>
      <c r="F89" s="50"/>
      <c r="G89" s="50"/>
      <c r="H89" s="1"/>
      <c r="I89" s="39"/>
      <c r="J89" s="97"/>
      <c r="K89" s="51"/>
      <c r="L89" s="51"/>
      <c r="M89" s="51"/>
      <c r="N89" s="51"/>
      <c r="O89" s="98"/>
    </row>
    <row r="90" spans="1:15" ht="13.5" thickBot="1">
      <c r="A90" s="17" t="s">
        <v>49</v>
      </c>
      <c r="B90" s="7">
        <f aca="true" t="shared" si="26" ref="B90:G90">SUM(B5:B89)/2</f>
        <v>85569.99999999999</v>
      </c>
      <c r="C90" s="7">
        <f t="shared" si="26"/>
        <v>82681.49999999999</v>
      </c>
      <c r="D90" s="7">
        <f t="shared" si="26"/>
        <v>13425.8</v>
      </c>
      <c r="E90" s="7">
        <f t="shared" si="26"/>
        <v>96107.29999999999</v>
      </c>
      <c r="F90" s="7">
        <f t="shared" si="26"/>
        <v>0</v>
      </c>
      <c r="G90" s="7">
        <f t="shared" si="26"/>
        <v>84178</v>
      </c>
      <c r="H90" s="3"/>
      <c r="I90" s="99"/>
      <c r="J90" s="100">
        <f aca="true" t="shared" si="27" ref="J90:O90">SUM(J5:J89)/2</f>
        <v>85570</v>
      </c>
      <c r="K90" s="7">
        <f t="shared" si="27"/>
        <v>82681.5</v>
      </c>
      <c r="L90" s="7">
        <f t="shared" si="27"/>
        <v>13485.3</v>
      </c>
      <c r="M90" s="7">
        <f t="shared" si="27"/>
        <v>96166.79999999999</v>
      </c>
      <c r="N90" s="7">
        <f t="shared" si="27"/>
        <v>0</v>
      </c>
      <c r="O90" s="101">
        <f t="shared" si="27"/>
        <v>84178</v>
      </c>
    </row>
    <row r="91" spans="1:15" s="24" customFormat="1" ht="14.25" thickBot="1" thickTop="1">
      <c r="A91" s="23"/>
      <c r="B91" s="102"/>
      <c r="C91" s="103"/>
      <c r="D91" s="102"/>
      <c r="E91" s="102"/>
      <c r="F91" s="104"/>
      <c r="G91" s="105"/>
      <c r="H91" s="106"/>
      <c r="I91" s="107"/>
      <c r="J91" s="107"/>
      <c r="K91" s="103"/>
      <c r="L91" s="102"/>
      <c r="M91" s="102"/>
      <c r="N91" s="104"/>
      <c r="O91" s="105"/>
    </row>
    <row r="92" spans="3:14" ht="13.5" thickBot="1">
      <c r="C92" s="108"/>
      <c r="D92" s="102"/>
      <c r="E92" s="102"/>
      <c r="F92" s="109"/>
      <c r="I92" s="111" t="s">
        <v>75</v>
      </c>
      <c r="J92" s="112"/>
      <c r="K92" s="110">
        <f>K90-C90</f>
        <v>0</v>
      </c>
      <c r="L92" s="102"/>
      <c r="M92" s="102"/>
      <c r="N92" s="109"/>
    </row>
    <row r="93" spans="3:13" ht="12.75">
      <c r="C93" s="108"/>
      <c r="D93" s="102"/>
      <c r="E93" s="102"/>
      <c r="K93" s="103"/>
      <c r="L93" s="102"/>
      <c r="M93" s="102"/>
    </row>
    <row r="94" spans="3:13" ht="12.75">
      <c r="C94" s="108"/>
      <c r="D94" s="102"/>
      <c r="E94" s="102"/>
      <c r="K94" s="103"/>
      <c r="L94" s="102"/>
      <c r="M94" s="102"/>
    </row>
    <row r="95" spans="3:13" ht="12.75">
      <c r="C95" s="108"/>
      <c r="D95" s="108"/>
      <c r="E95" s="108"/>
      <c r="K95" s="103"/>
      <c r="L95" s="102"/>
      <c r="M95" s="102"/>
    </row>
    <row r="96" spans="3:13" ht="12.75">
      <c r="C96" s="108"/>
      <c r="D96" s="108"/>
      <c r="E96" s="108"/>
      <c r="K96" s="103"/>
      <c r="L96" s="102"/>
      <c r="M96" s="102"/>
    </row>
    <row r="97" spans="3:13" ht="12.75">
      <c r="C97" s="108"/>
      <c r="D97" s="108"/>
      <c r="E97" s="108"/>
      <c r="K97" s="103"/>
      <c r="M97" s="102"/>
    </row>
    <row r="98" spans="3:13" ht="12.75">
      <c r="C98" s="108"/>
      <c r="D98" s="108"/>
      <c r="E98" s="108"/>
      <c r="K98" s="103"/>
      <c r="M98" s="102"/>
    </row>
    <row r="99" spans="3:13" ht="12.75">
      <c r="C99" s="108"/>
      <c r="D99" s="108"/>
      <c r="E99" s="108"/>
      <c r="K99" s="103"/>
      <c r="M99" s="102"/>
    </row>
    <row r="100" spans="3:13" ht="12.75">
      <c r="C100" s="108"/>
      <c r="D100" s="108"/>
      <c r="E100" s="108"/>
      <c r="F100" s="109"/>
      <c r="K100" s="103"/>
      <c r="M100" s="102"/>
    </row>
    <row r="101" spans="3:13" ht="12.75">
      <c r="C101" s="108"/>
      <c r="D101" s="108"/>
      <c r="E101" s="108"/>
      <c r="K101" s="103"/>
      <c r="M101" s="102"/>
    </row>
    <row r="102" spans="3:13" ht="12.75">
      <c r="C102" s="108"/>
      <c r="D102" s="108"/>
      <c r="E102" s="108"/>
      <c r="K102" s="103"/>
      <c r="M102" s="102"/>
    </row>
    <row r="103" spans="3:13" ht="12.75">
      <c r="C103" s="108"/>
      <c r="D103" s="108"/>
      <c r="E103" s="108"/>
      <c r="K103" s="103"/>
      <c r="M103" s="102"/>
    </row>
    <row r="104" spans="3:13" ht="12.75">
      <c r="C104" s="108"/>
      <c r="D104" s="108"/>
      <c r="E104" s="108"/>
      <c r="K104" s="103"/>
      <c r="M104" s="102"/>
    </row>
    <row r="105" spans="3:13" ht="12.75">
      <c r="C105" s="108"/>
      <c r="D105" s="108"/>
      <c r="E105" s="108"/>
      <c r="K105" s="103"/>
      <c r="M105" s="102"/>
    </row>
    <row r="106" spans="3:13" ht="12.75">
      <c r="C106" s="108"/>
      <c r="D106" s="108"/>
      <c r="E106" s="108"/>
      <c r="K106" s="103"/>
      <c r="M106" s="102"/>
    </row>
    <row r="107" spans="3:13" ht="12.75">
      <c r="C107" s="108"/>
      <c r="D107" s="108"/>
      <c r="E107" s="108"/>
      <c r="K107" s="103"/>
      <c r="M107" s="102"/>
    </row>
    <row r="108" spans="3:13" ht="12.75">
      <c r="C108" s="108"/>
      <c r="D108" s="108"/>
      <c r="E108" s="108"/>
      <c r="K108" s="103"/>
      <c r="M108" s="102"/>
    </row>
    <row r="109" spans="3:13" ht="12.75">
      <c r="C109" s="108"/>
      <c r="D109" s="108"/>
      <c r="E109" s="108"/>
      <c r="K109" s="103"/>
      <c r="M109" s="102"/>
    </row>
    <row r="110" spans="3:13" ht="12.75">
      <c r="C110" s="108"/>
      <c r="D110" s="108"/>
      <c r="E110" s="108"/>
      <c r="K110" s="103"/>
      <c r="M110" s="102"/>
    </row>
    <row r="111" spans="3:13" ht="12.75">
      <c r="C111" s="108"/>
      <c r="D111" s="108"/>
      <c r="E111" s="108"/>
      <c r="K111" s="103"/>
      <c r="M111" s="102"/>
    </row>
    <row r="112" spans="3:13" ht="12.75">
      <c r="C112" s="108"/>
      <c r="D112" s="108"/>
      <c r="E112" s="108"/>
      <c r="K112" s="103"/>
      <c r="M112" s="102"/>
    </row>
    <row r="113" spans="3:13" ht="12.75">
      <c r="C113" s="108"/>
      <c r="D113" s="108"/>
      <c r="E113" s="108"/>
      <c r="K113" s="103"/>
      <c r="M113" s="102"/>
    </row>
    <row r="114" spans="3:13" ht="12.75">
      <c r="C114" s="108"/>
      <c r="D114" s="108"/>
      <c r="E114" s="108"/>
      <c r="K114" s="103"/>
      <c r="M114" s="102"/>
    </row>
    <row r="115" spans="3:13" ht="12.75">
      <c r="C115" s="108"/>
      <c r="D115" s="108"/>
      <c r="E115" s="108"/>
      <c r="K115" s="103"/>
      <c r="M115" s="102"/>
    </row>
    <row r="116" spans="3:13" ht="12.75">
      <c r="C116" s="108"/>
      <c r="D116" s="108"/>
      <c r="E116" s="108"/>
      <c r="K116" s="103"/>
      <c r="M116" s="102"/>
    </row>
    <row r="117" spans="3:13" ht="12.75">
      <c r="C117" s="108"/>
      <c r="D117" s="108"/>
      <c r="E117" s="108"/>
      <c r="K117" s="103"/>
      <c r="M117" s="102"/>
    </row>
    <row r="118" spans="3:13" ht="12.75">
      <c r="C118" s="108"/>
      <c r="D118" s="108"/>
      <c r="E118" s="108"/>
      <c r="K118" s="103"/>
      <c r="M118" s="102"/>
    </row>
    <row r="119" spans="3:13" ht="12.75">
      <c r="C119" s="108"/>
      <c r="D119" s="108"/>
      <c r="E119" s="108"/>
      <c r="K119" s="103"/>
      <c r="M119" s="102"/>
    </row>
    <row r="120" spans="3:13" ht="12.75">
      <c r="C120" s="108"/>
      <c r="D120" s="108"/>
      <c r="E120" s="108"/>
      <c r="K120" s="103"/>
      <c r="M120" s="102"/>
    </row>
    <row r="121" spans="3:13" ht="12.75">
      <c r="C121" s="108"/>
      <c r="D121" s="108"/>
      <c r="E121" s="108"/>
      <c r="K121" s="103"/>
      <c r="M121" s="102"/>
    </row>
    <row r="122" spans="3:13" ht="12.75">
      <c r="C122" s="108"/>
      <c r="D122" s="108"/>
      <c r="E122" s="108"/>
      <c r="K122" s="103"/>
      <c r="M122" s="102"/>
    </row>
    <row r="123" spans="3:13" ht="12.75">
      <c r="C123" s="108"/>
      <c r="D123" s="108"/>
      <c r="E123" s="108"/>
      <c r="K123" s="103"/>
      <c r="M123" s="102"/>
    </row>
    <row r="124" spans="3:13" ht="12.75">
      <c r="C124" s="108"/>
      <c r="D124" s="108"/>
      <c r="E124" s="108"/>
      <c r="K124" s="103"/>
      <c r="M124" s="102"/>
    </row>
    <row r="125" spans="3:13" ht="12.75">
      <c r="C125" s="108"/>
      <c r="D125" s="108"/>
      <c r="E125" s="108"/>
      <c r="K125" s="103"/>
      <c r="M125" s="102"/>
    </row>
    <row r="126" spans="3:13" ht="12.75">
      <c r="C126" s="108"/>
      <c r="D126" s="108"/>
      <c r="E126" s="108"/>
      <c r="K126" s="103"/>
      <c r="M126" s="102"/>
    </row>
    <row r="127" spans="3:13" ht="12.75">
      <c r="C127" s="108"/>
      <c r="D127" s="108"/>
      <c r="E127" s="108"/>
      <c r="K127" s="103"/>
      <c r="M127" s="102"/>
    </row>
    <row r="128" spans="3:13" ht="12.75">
      <c r="C128" s="108"/>
      <c r="D128" s="108"/>
      <c r="E128" s="108"/>
      <c r="K128" s="103"/>
      <c r="M128" s="102"/>
    </row>
    <row r="129" spans="3:13" ht="12.75">
      <c r="C129" s="108"/>
      <c r="D129" s="108"/>
      <c r="E129" s="108"/>
      <c r="K129" s="103"/>
      <c r="M129" s="102"/>
    </row>
    <row r="130" spans="3:13" ht="12.75">
      <c r="C130" s="108"/>
      <c r="D130" s="108"/>
      <c r="E130" s="108"/>
      <c r="K130" s="103"/>
      <c r="M130" s="102"/>
    </row>
    <row r="131" spans="3:13" ht="12.75">
      <c r="C131" s="108"/>
      <c r="D131" s="108"/>
      <c r="E131" s="108"/>
      <c r="K131" s="103"/>
      <c r="M131" s="102"/>
    </row>
    <row r="132" spans="3:13" ht="12.75">
      <c r="C132" s="108"/>
      <c r="D132" s="108"/>
      <c r="E132" s="108"/>
      <c r="K132" s="103"/>
      <c r="M132" s="102"/>
    </row>
    <row r="133" spans="3:13" ht="12.75">
      <c r="C133" s="108"/>
      <c r="D133" s="108"/>
      <c r="E133" s="108"/>
      <c r="K133" s="103"/>
      <c r="M133" s="102"/>
    </row>
    <row r="134" spans="3:13" ht="12.75">
      <c r="C134" s="108"/>
      <c r="D134" s="108"/>
      <c r="E134" s="108"/>
      <c r="K134" s="103"/>
      <c r="M134" s="102"/>
    </row>
    <row r="135" spans="3:13" ht="12.75">
      <c r="C135" s="108"/>
      <c r="D135" s="108"/>
      <c r="E135" s="108"/>
      <c r="K135" s="103"/>
      <c r="M135" s="102"/>
    </row>
    <row r="136" spans="3:13" ht="12.75">
      <c r="C136" s="108"/>
      <c r="D136" s="108"/>
      <c r="E136" s="108"/>
      <c r="K136" s="103"/>
      <c r="M136" s="102"/>
    </row>
    <row r="137" spans="3:13" ht="12.75">
      <c r="C137" s="108"/>
      <c r="D137" s="108"/>
      <c r="E137" s="108"/>
      <c r="K137" s="103"/>
      <c r="M137" s="102"/>
    </row>
    <row r="138" spans="3:13" ht="12.75">
      <c r="C138" s="108"/>
      <c r="D138" s="108"/>
      <c r="E138" s="108"/>
      <c r="K138" s="103"/>
      <c r="M138" s="102"/>
    </row>
    <row r="139" spans="3:13" ht="12.75">
      <c r="C139" s="108"/>
      <c r="D139" s="108"/>
      <c r="E139" s="108"/>
      <c r="K139" s="103"/>
      <c r="M139" s="102"/>
    </row>
    <row r="140" spans="3:13" ht="12.75">
      <c r="C140" s="108"/>
      <c r="D140" s="108"/>
      <c r="E140" s="108"/>
      <c r="K140" s="103"/>
      <c r="M140" s="102"/>
    </row>
    <row r="141" spans="3:13" ht="12.75">
      <c r="C141" s="108"/>
      <c r="D141" s="108"/>
      <c r="E141" s="108"/>
      <c r="K141" s="103"/>
      <c r="M141" s="102"/>
    </row>
    <row r="142" spans="3:13" ht="12.75">
      <c r="C142" s="108"/>
      <c r="D142" s="108"/>
      <c r="E142" s="108"/>
      <c r="K142" s="103"/>
      <c r="M142" s="102"/>
    </row>
    <row r="143" spans="3:13" ht="12.75">
      <c r="C143" s="108"/>
      <c r="D143" s="108"/>
      <c r="E143" s="108"/>
      <c r="K143" s="103"/>
      <c r="M143" s="102"/>
    </row>
    <row r="144" spans="3:13" ht="12.75">
      <c r="C144" s="108"/>
      <c r="D144" s="108"/>
      <c r="E144" s="108"/>
      <c r="K144" s="103"/>
      <c r="M144" s="102"/>
    </row>
    <row r="145" spans="3:13" ht="12.75">
      <c r="C145" s="108"/>
      <c r="D145" s="108"/>
      <c r="E145" s="108"/>
      <c r="K145" s="103"/>
      <c r="M145" s="102"/>
    </row>
    <row r="146" spans="3:13" ht="12.75">
      <c r="C146" s="108"/>
      <c r="D146" s="108"/>
      <c r="E146" s="108"/>
      <c r="K146" s="103"/>
      <c r="M146" s="102"/>
    </row>
    <row r="147" spans="3:13" ht="12.75">
      <c r="C147" s="108"/>
      <c r="D147" s="108"/>
      <c r="E147" s="108"/>
      <c r="K147" s="103"/>
      <c r="M147" s="102"/>
    </row>
    <row r="148" spans="3:13" ht="12.75">
      <c r="C148" s="108"/>
      <c r="D148" s="108"/>
      <c r="E148" s="108"/>
      <c r="K148" s="103"/>
      <c r="M148" s="102"/>
    </row>
    <row r="149" spans="11:13" ht="12.75">
      <c r="K149" s="103"/>
      <c r="M149" s="102"/>
    </row>
    <row r="150" spans="11:13" ht="12.75">
      <c r="K150" s="103"/>
      <c r="M150" s="102"/>
    </row>
    <row r="151" spans="11:13" ht="12.75">
      <c r="K151" s="103"/>
      <c r="M151" s="102"/>
    </row>
    <row r="152" spans="11:13" ht="12.75">
      <c r="K152" s="103"/>
      <c r="M152" s="102"/>
    </row>
    <row r="153" spans="11:13" ht="12.75">
      <c r="K153" s="103"/>
      <c r="M153" s="102"/>
    </row>
    <row r="154" spans="11:13" ht="12.75">
      <c r="K154" s="103"/>
      <c r="M154" s="102"/>
    </row>
    <row r="155" spans="11:13" ht="12.75">
      <c r="K155" s="103"/>
      <c r="M155" s="102"/>
    </row>
    <row r="156" spans="11:13" ht="12.75">
      <c r="K156" s="103"/>
      <c r="M156" s="102"/>
    </row>
    <row r="157" spans="11:13" ht="12.75">
      <c r="K157" s="103"/>
      <c r="M157" s="102"/>
    </row>
    <row r="158" spans="11:13" ht="12.75">
      <c r="K158" s="103"/>
      <c r="M158" s="102"/>
    </row>
    <row r="159" spans="11:13" ht="12.75">
      <c r="K159" s="103"/>
      <c r="M159" s="102"/>
    </row>
    <row r="160" spans="11:13" ht="12.75">
      <c r="K160" s="103"/>
      <c r="M160" s="102"/>
    </row>
    <row r="161" spans="11:13" ht="12.75">
      <c r="K161" s="103"/>
      <c r="M161" s="102"/>
    </row>
    <row r="162" spans="11:13" ht="12.75">
      <c r="K162" s="103"/>
      <c r="M162" s="102"/>
    </row>
    <row r="163" spans="11:13" ht="12.75">
      <c r="K163" s="103"/>
      <c r="M163" s="102"/>
    </row>
    <row r="164" spans="11:13" ht="12.75">
      <c r="K164" s="103"/>
      <c r="M164" s="102"/>
    </row>
    <row r="165" spans="11:13" ht="12.75">
      <c r="K165" s="103"/>
      <c r="M165" s="102"/>
    </row>
    <row r="166" spans="11:13" ht="12.75">
      <c r="K166" s="103"/>
      <c r="M166" s="102"/>
    </row>
    <row r="167" spans="11:13" ht="12.75">
      <c r="K167" s="103"/>
      <c r="M167" s="102"/>
    </row>
    <row r="168" spans="11:13" ht="12.75">
      <c r="K168" s="103"/>
      <c r="M168" s="102"/>
    </row>
    <row r="169" spans="11:13" ht="12.75">
      <c r="K169" s="103"/>
      <c r="M169" s="102"/>
    </row>
    <row r="170" spans="11:13" ht="12.75">
      <c r="K170" s="103"/>
      <c r="M170" s="102"/>
    </row>
    <row r="171" spans="11:13" ht="12.75">
      <c r="K171" s="103"/>
      <c r="M171" s="102"/>
    </row>
    <row r="172" spans="11:13" ht="12.75">
      <c r="K172" s="103"/>
      <c r="M172" s="102"/>
    </row>
    <row r="173" spans="11:13" ht="12.75">
      <c r="K173" s="103"/>
      <c r="M173" s="102"/>
    </row>
    <row r="174" spans="11:13" ht="12.75">
      <c r="K174" s="103"/>
      <c r="M174" s="102"/>
    </row>
    <row r="175" spans="11:13" ht="12.75">
      <c r="K175" s="103"/>
      <c r="M175" s="102"/>
    </row>
    <row r="176" spans="11:13" ht="12.75">
      <c r="K176" s="103"/>
      <c r="M176" s="102"/>
    </row>
  </sheetData>
  <sheetProtection password="CC4F" sheet="1" objects="1" scenarios="1"/>
  <mergeCells count="5">
    <mergeCell ref="I92:J92"/>
    <mergeCell ref="B2:G2"/>
    <mergeCell ref="J2:O2"/>
    <mergeCell ref="E3:F3"/>
    <mergeCell ref="M3:N3"/>
  </mergeCells>
  <printOptions/>
  <pageMargins left="0.7874015748031497" right="0.1968503937007874" top="0.5905511811023623" bottom="0.5905511811023623" header="0.31496062992125984" footer="0.31496062992125984"/>
  <pageSetup fitToHeight="1" fitToWidth="1" horizontalDpi="200" verticalDpi="200" orientation="portrait" paperSize="9" scale="54" r:id="rId1"/>
  <headerFooter alignWithMargins="0">
    <oddHeader>&amp;L&amp;"Arial,Tučné"&amp;16Návrh  rozpočtu  MČ Praha 16  na  rok 2014&amp;R&amp;"Arial,Kurzíva"&amp;8ZMČ 18122013 příl 2a/&amp;"Arial,Obyčejné"&amp;7
</oddHeader>
    <oddFooter>&amp;L&amp;7&amp;F&amp;R&amp;7&amp;P/&amp;N</oddFooter>
  </headerFooter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Radotín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Tišlová</dc:creator>
  <cp:keywords/>
  <dc:description/>
  <cp:lastModifiedBy>Marta Tišlová</cp:lastModifiedBy>
  <cp:lastPrinted>2015-03-09T23:25:01Z</cp:lastPrinted>
  <dcterms:created xsi:type="dcterms:W3CDTF">2013-12-03T05:01:01Z</dcterms:created>
  <dcterms:modified xsi:type="dcterms:W3CDTF">2015-03-09T23:25:23Z</dcterms:modified>
  <cp:category/>
  <cp:version/>
  <cp:contentType/>
  <cp:contentStatus/>
</cp:coreProperties>
</file>