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395" windowHeight="6690" activeTab="0"/>
  </bookViews>
  <sheets>
    <sheet name="List2" sheetId="1" r:id="rId1"/>
  </sheets>
  <definedNames>
    <definedName name="_xlnm.Print_Titles" localSheetId="0">'List2'!$2:$3</definedName>
  </definedNames>
  <calcPr fullCalcOnLoad="1"/>
</workbook>
</file>

<file path=xl/sharedStrings.xml><?xml version="1.0" encoding="utf-8"?>
<sst xmlns="http://schemas.openxmlformats.org/spreadsheetml/2006/main" count="285" uniqueCount="226">
  <si>
    <t>rozvoj obce</t>
  </si>
  <si>
    <t>sběrný dvůr</t>
  </si>
  <si>
    <t>infrastr</t>
  </si>
  <si>
    <t>komunikace</t>
  </si>
  <si>
    <t>Radk-Stráž</t>
  </si>
  <si>
    <t>Safír</t>
  </si>
  <si>
    <t>výkup pozemků</t>
  </si>
  <si>
    <t>vodní hosp.</t>
  </si>
  <si>
    <t>školství</t>
  </si>
  <si>
    <t>Mateřská škola</t>
  </si>
  <si>
    <t>Školní jídelna</t>
  </si>
  <si>
    <t>Gymnasium</t>
  </si>
  <si>
    <t>ZUŠ</t>
  </si>
  <si>
    <t>soc-zdrav</t>
  </si>
  <si>
    <t>prevence</t>
  </si>
  <si>
    <t>4174-99</t>
  </si>
  <si>
    <t>dávky soc. péče</t>
  </si>
  <si>
    <t>příspěvek na péči</t>
  </si>
  <si>
    <r>
      <t xml:space="preserve"> 4351/1    </t>
    </r>
    <r>
      <rPr>
        <sz val="7"/>
        <rFont val="Arial CE"/>
        <family val="2"/>
      </rPr>
      <t>4312</t>
    </r>
  </si>
  <si>
    <t>dům s peč.sl</t>
  </si>
  <si>
    <r>
      <t xml:space="preserve"> 4351/2    </t>
    </r>
    <r>
      <rPr>
        <sz val="7"/>
        <rFont val="Arial CE"/>
        <family val="2"/>
      </rPr>
      <t xml:space="preserve"> 4312/1</t>
    </r>
  </si>
  <si>
    <t xml:space="preserve">nový dům s peč. sl </t>
  </si>
  <si>
    <r>
      <t xml:space="preserve"> 4351/3     </t>
    </r>
    <r>
      <rPr>
        <sz val="7"/>
        <rFont val="Arial CE"/>
        <family val="2"/>
      </rPr>
      <t>43122/2</t>
    </r>
  </si>
  <si>
    <t>strav. zařízení</t>
  </si>
  <si>
    <r>
      <t xml:space="preserve">  4351     </t>
    </r>
    <r>
      <rPr>
        <sz val="7"/>
        <rFont val="Arial CE"/>
        <family val="2"/>
      </rPr>
      <t>4314</t>
    </r>
  </si>
  <si>
    <t>peč. služba</t>
  </si>
  <si>
    <t>péče</t>
  </si>
  <si>
    <r>
      <t>4375</t>
    </r>
    <r>
      <rPr>
        <sz val="8"/>
        <rFont val="Arial CE"/>
        <family val="2"/>
      </rPr>
      <t xml:space="preserve">     4329  .</t>
    </r>
  </si>
  <si>
    <t>péče o mládež LDT</t>
  </si>
  <si>
    <r>
      <t xml:space="preserve">   4375      </t>
    </r>
    <r>
      <rPr>
        <strike/>
        <sz val="7"/>
        <rFont val="Arial CE"/>
        <family val="2"/>
      </rPr>
      <t>4329</t>
    </r>
  </si>
  <si>
    <t>klub</t>
  </si>
  <si>
    <t xml:space="preserve"> </t>
  </si>
  <si>
    <r>
      <t xml:space="preserve">péče o důchodce </t>
    </r>
    <r>
      <rPr>
        <sz val="7"/>
        <rFont val="Arial CE"/>
        <family val="2"/>
      </rPr>
      <t>balíčky atd</t>
    </r>
  </si>
  <si>
    <t>kultura</t>
  </si>
  <si>
    <t>kino</t>
  </si>
  <si>
    <t>knihovna</t>
  </si>
  <si>
    <r>
      <t xml:space="preserve">3319 </t>
    </r>
    <r>
      <rPr>
        <strike/>
        <sz val="6"/>
        <rFont val="Arial CE"/>
        <family val="2"/>
      </rPr>
      <t>3314</t>
    </r>
  </si>
  <si>
    <t>kult.střed</t>
  </si>
  <si>
    <t>JSDH</t>
  </si>
  <si>
    <t>JSDH účel</t>
  </si>
  <si>
    <t>Domovní správa</t>
  </si>
  <si>
    <t>Techn. služby</t>
  </si>
  <si>
    <t xml:space="preserve"> TS objekt, služby</t>
  </si>
  <si>
    <t>hřbit.popl ÚMČ</t>
  </si>
  <si>
    <t>ZMČ</t>
  </si>
  <si>
    <t>mzdy st.správy</t>
  </si>
  <si>
    <t>Noviny P 16</t>
  </si>
  <si>
    <t>soc. právní ochrana dětí</t>
  </si>
  <si>
    <t>sociální služby</t>
  </si>
  <si>
    <r>
      <t xml:space="preserve">SFZ </t>
    </r>
    <r>
      <rPr>
        <sz val="7"/>
        <rFont val="Arial CE"/>
        <family val="2"/>
      </rPr>
      <t>tvorba 3%</t>
    </r>
  </si>
  <si>
    <t>čp. 21</t>
  </si>
  <si>
    <t>čp. 23</t>
  </si>
  <si>
    <t>čp. 732</t>
  </si>
  <si>
    <t>čp. 1379</t>
  </si>
  <si>
    <t xml:space="preserve"> V Ý D A J E</t>
  </si>
  <si>
    <t>Účelové prostředky poskytnuté státem nebo HMP:</t>
  </si>
  <si>
    <t xml:space="preserve"> 07/ 5512</t>
  </si>
  <si>
    <t xml:space="preserve"> 00081</t>
  </si>
  <si>
    <t xml:space="preserve"> 02/ 3722</t>
  </si>
  <si>
    <t xml:space="preserve"> 05/ 3541</t>
  </si>
  <si>
    <t xml:space="preserve"> 13306</t>
  </si>
  <si>
    <t xml:space="preserve"> 13235</t>
  </si>
  <si>
    <t xml:space="preserve"> 04/ 3113</t>
  </si>
  <si>
    <t>Základní škola</t>
  </si>
  <si>
    <t xml:space="preserve"> 98216</t>
  </si>
  <si>
    <t>agenda soc. právní ochrana dětí</t>
  </si>
  <si>
    <t xml:space="preserve"> 98116</t>
  </si>
  <si>
    <t>agenda soc. služeb</t>
  </si>
  <si>
    <t xml:space="preserve"> 06/ 3314</t>
  </si>
  <si>
    <t>Knihovna knihy</t>
  </si>
  <si>
    <t xml:space="preserve"> 02/3421</t>
  </si>
  <si>
    <t xml:space="preserve"> 03/2212</t>
  </si>
  <si>
    <t xml:space="preserve"> 98031</t>
  </si>
  <si>
    <t xml:space="preserve"> 09/6171</t>
  </si>
  <si>
    <t>SSP poštovné</t>
  </si>
  <si>
    <t>ZOZ</t>
  </si>
  <si>
    <t>00091</t>
  </si>
  <si>
    <t xml:space="preserve"> 04/3113</t>
  </si>
  <si>
    <t>VÝDAJE  účel. prostř</t>
  </si>
  <si>
    <t>VÝDAJE  c e l k e m</t>
  </si>
  <si>
    <t>viz HMP účel</t>
  </si>
  <si>
    <t>nyní 3639</t>
  </si>
  <si>
    <t>viz stát účel</t>
  </si>
  <si>
    <t>UZ 13306</t>
  </si>
  <si>
    <t>UZ 13235</t>
  </si>
  <si>
    <t>nyní 4351/1</t>
  </si>
  <si>
    <t>nyní 4351/2</t>
  </si>
  <si>
    <t>nyní 4351/3</t>
  </si>
  <si>
    <t>nyní 4351</t>
  </si>
  <si>
    <t>nyní 4375</t>
  </si>
  <si>
    <t>2210 sankce:</t>
  </si>
  <si>
    <t xml:space="preserve"> viz ORJ, PO</t>
  </si>
  <si>
    <t>2321 neinv.dary:</t>
  </si>
  <si>
    <t>2322 poj.plnění:</t>
  </si>
  <si>
    <t>2343 dobýv.:</t>
  </si>
  <si>
    <t>MP 1341-5,7</t>
  </si>
  <si>
    <t>SprPopl 1361:</t>
  </si>
  <si>
    <t>DzN:</t>
  </si>
  <si>
    <t>stát DSP</t>
  </si>
  <si>
    <t>4121 HMP:</t>
  </si>
  <si>
    <t>DPPO</t>
  </si>
  <si>
    <t>4131 ekon:čin</t>
  </si>
  <si>
    <t>nahod</t>
  </si>
  <si>
    <t>úroky</t>
  </si>
  <si>
    <t>FV 2006</t>
  </si>
  <si>
    <t xml:space="preserve"> P Ř Í J M Y</t>
  </si>
  <si>
    <t>výsledek</t>
  </si>
  <si>
    <t>HMP účel</t>
  </si>
  <si>
    <t>stát účel</t>
  </si>
  <si>
    <t>PŘÍJMY účel. prostř</t>
  </si>
  <si>
    <t>PŘÍJMY  c e l k e m</t>
  </si>
  <si>
    <t>výsledek účel. prostř</t>
  </si>
  <si>
    <t>výsledek  c e l k e m</t>
  </si>
  <si>
    <t>V Ý D A J E</t>
  </si>
  <si>
    <t>P Ř Í J M Y</t>
  </si>
  <si>
    <t>úprava rozpočtu</t>
  </si>
  <si>
    <t>upravený rozpočet</t>
  </si>
  <si>
    <t>SFZ tvorba:</t>
  </si>
  <si>
    <t>pojištění</t>
  </si>
  <si>
    <t xml:space="preserve"> 02 infrastruktura</t>
  </si>
  <si>
    <t xml:space="preserve"> 03 doprava</t>
  </si>
  <si>
    <t xml:space="preserve"> 04 školství</t>
  </si>
  <si>
    <t>05 sociál. věci</t>
  </si>
  <si>
    <t>06 kultura</t>
  </si>
  <si>
    <t>07 bezpečnost</t>
  </si>
  <si>
    <t>08 hospodářství</t>
  </si>
  <si>
    <t>09 správa</t>
  </si>
  <si>
    <t>10 financování</t>
  </si>
  <si>
    <t>2 0 0 8</t>
  </si>
  <si>
    <r>
      <t>schválený</t>
    </r>
    <r>
      <rPr>
        <b/>
        <i/>
        <sz val="8"/>
        <rFont val="Arial CE"/>
        <family val="2"/>
      </rPr>
      <t xml:space="preserve"> rozpočet 2008</t>
    </r>
  </si>
  <si>
    <r>
      <t xml:space="preserve"> účetní stav   </t>
    </r>
    <r>
      <rPr>
        <i/>
        <sz val="8"/>
        <rFont val="Arial CE"/>
        <family val="2"/>
      </rPr>
      <t>31.12.2008</t>
    </r>
  </si>
  <si>
    <t>do ekonomické činnosti</t>
  </si>
  <si>
    <t>stav po odečtu EČ</t>
  </si>
  <si>
    <t>předpoklad 11,12/2007</t>
  </si>
  <si>
    <t>předpoklad 31.12.2007</t>
  </si>
  <si>
    <t xml:space="preserve">čp. 1052 </t>
  </si>
  <si>
    <t>xxxxx / 4787</t>
  </si>
  <si>
    <t>komun. u čp. 1021</t>
  </si>
  <si>
    <r>
      <t xml:space="preserve">dotace stát </t>
    </r>
    <r>
      <rPr>
        <sz val="7"/>
        <rFont val="Arial CE"/>
        <family val="2"/>
      </rPr>
      <t>1.360 Kč/žáka</t>
    </r>
  </si>
  <si>
    <t>8425 MŠ okna (MČ)</t>
  </si>
  <si>
    <t xml:space="preserve">DPPO UZ 099 </t>
  </si>
  <si>
    <t>MŠ III hřiště</t>
  </si>
  <si>
    <r>
      <t>viz</t>
    </r>
    <r>
      <rPr>
        <sz val="7"/>
        <rFont val="Arial CE"/>
        <family val="2"/>
      </rPr>
      <t xml:space="preserve"> HMP účel</t>
    </r>
  </si>
  <si>
    <t>2321 dary</t>
  </si>
  <si>
    <t>ZŠ akce 40233 dopl MČ</t>
  </si>
  <si>
    <t>ZŠ akce 7599 dopl MČ</t>
  </si>
  <si>
    <t>ZŠ objekt+čerpadla 339.815,00</t>
  </si>
  <si>
    <t>ŠJ objekt</t>
  </si>
  <si>
    <t xml:space="preserve"> 4351/4</t>
  </si>
  <si>
    <t>strav. zař SYNEK</t>
  </si>
  <si>
    <t>LDT vč. vratek 708/2008</t>
  </si>
  <si>
    <t>2412 vánoce</t>
  </si>
  <si>
    <r>
      <t>715</t>
    </r>
    <r>
      <rPr>
        <sz val="7"/>
        <rFont val="Arial CE"/>
        <family val="2"/>
      </rPr>
      <t xml:space="preserve"> kron </t>
    </r>
    <r>
      <rPr>
        <sz val="8"/>
        <rFont val="Arial CE"/>
        <family val="2"/>
      </rPr>
      <t>716</t>
    </r>
    <r>
      <rPr>
        <sz val="7"/>
        <rFont val="Arial CE"/>
        <family val="2"/>
      </rPr>
      <t xml:space="preserve"> LK</t>
    </r>
  </si>
  <si>
    <t>Korunka 4444</t>
  </si>
  <si>
    <t>SH prostř. MČ</t>
  </si>
  <si>
    <t>DS objekty 551,parkoviště</t>
  </si>
  <si>
    <t>DS odvod nájemného z bytů</t>
  </si>
  <si>
    <t>2141 úroky</t>
  </si>
  <si>
    <t>DPPO za 2007 (energie)</t>
  </si>
  <si>
    <t>mzdy samospráva:</t>
  </si>
  <si>
    <r>
      <t xml:space="preserve">dotace stát </t>
    </r>
    <r>
      <rPr>
        <sz val="7"/>
        <rFont val="Arial CE"/>
        <family val="2"/>
      </rPr>
      <t xml:space="preserve">obyv MČ  </t>
    </r>
    <r>
      <rPr>
        <i/>
        <sz val="7"/>
        <rFont val="Arial CE"/>
        <family val="2"/>
      </rPr>
      <t>15,30</t>
    </r>
    <r>
      <rPr>
        <sz val="7"/>
        <rFont val="Arial CE"/>
        <family val="2"/>
      </rPr>
      <t xml:space="preserve"> obyv SO </t>
    </r>
    <r>
      <rPr>
        <i/>
        <sz val="7"/>
        <rFont val="Arial CE"/>
        <family val="2"/>
      </rPr>
      <t>417,90</t>
    </r>
  </si>
  <si>
    <t>Místo u řeky</t>
  </si>
  <si>
    <t>2321 Partnerství: Místo u řeky</t>
  </si>
  <si>
    <t>Neckyáda</t>
  </si>
  <si>
    <t>1112102008</t>
  </si>
  <si>
    <t>posvícení</t>
  </si>
  <si>
    <t>2329 !!</t>
  </si>
  <si>
    <t>01062008:</t>
  </si>
  <si>
    <t>Velký dětský den</t>
  </si>
  <si>
    <t>vánoce 2008</t>
  </si>
  <si>
    <t>4112 stát školství 1.010,0:</t>
  </si>
  <si>
    <t>4112 stát st.spr  9.348:</t>
  </si>
  <si>
    <t>předpokl stavu úvěru 31/12/08</t>
  </si>
  <si>
    <t>FV 2007 vč SSP 1.510 tis  .</t>
  </si>
  <si>
    <t xml:space="preserve">FV 2007 st.prostř. </t>
  </si>
  <si>
    <t>dokončení  akce</t>
  </si>
  <si>
    <t>00090 / 7599</t>
  </si>
  <si>
    <t>ZŠ statika,zatepl z 2007</t>
  </si>
  <si>
    <t>00090 / 8425</t>
  </si>
  <si>
    <t xml:space="preserve"> 04/3311</t>
  </si>
  <si>
    <t>Vým.oken MŠ z 2007</t>
  </si>
  <si>
    <t>00084 / 40233</t>
  </si>
  <si>
    <t>ZŠ zatepl, okna</t>
  </si>
  <si>
    <t>xxxxx / 8233</t>
  </si>
  <si>
    <r>
      <t xml:space="preserve"> 06/</t>
    </r>
    <r>
      <rPr>
        <sz val="7"/>
        <rFont val="Arial CE"/>
        <family val="2"/>
      </rPr>
      <t>3412,3421</t>
    </r>
  </si>
  <si>
    <t>Sportovní hala</t>
  </si>
  <si>
    <t>00090 / 4491</t>
  </si>
  <si>
    <t>DDH z 2007</t>
  </si>
  <si>
    <t>00090 / 4635</t>
  </si>
  <si>
    <t>JSDH provoz</t>
  </si>
  <si>
    <t xml:space="preserve"> 07/5112</t>
  </si>
  <si>
    <t>JSDH vybavení</t>
  </si>
  <si>
    <t xml:space="preserve"> 00091</t>
  </si>
  <si>
    <t>ZŠ integr (HMP)</t>
  </si>
  <si>
    <t>04/3113</t>
  </si>
  <si>
    <t>ZŠ integrace II</t>
  </si>
  <si>
    <t>GRANT soc.sl.</t>
  </si>
  <si>
    <t xml:space="preserve"> 00084 / 40257</t>
  </si>
  <si>
    <t xml:space="preserve"> 02/2321</t>
  </si>
  <si>
    <t>Otěš kanaliz</t>
  </si>
  <si>
    <t>výsledek vlastní prostř</t>
  </si>
  <si>
    <t xml:space="preserve">P-V po konsol: </t>
  </si>
  <si>
    <t xml:space="preserve">ponecháno z 2007: </t>
  </si>
  <si>
    <t xml:space="preserve"> =336,9+1000+390,5+150,8</t>
  </si>
  <si>
    <t>odpadní vody</t>
  </si>
  <si>
    <t>sport.zařízení</t>
  </si>
  <si>
    <t>byt.hospod</t>
  </si>
  <si>
    <t>komun.služby</t>
  </si>
  <si>
    <t>komun.odpad</t>
  </si>
  <si>
    <t>soc.porad.</t>
  </si>
  <si>
    <t>soc. péče o mládež</t>
  </si>
  <si>
    <t>nízkoprah.zař</t>
  </si>
  <si>
    <t>ost.soc.sl</t>
  </si>
  <si>
    <t>dobrov.hasiči</t>
  </si>
  <si>
    <t>místní samospr</t>
  </si>
  <si>
    <t>zastupitelstvo</t>
  </si>
  <si>
    <r>
      <t xml:space="preserve">úprava rozpočtu </t>
    </r>
    <r>
      <rPr>
        <b/>
        <i/>
        <sz val="7"/>
        <rFont val="Arial CE"/>
        <family val="2"/>
      </rPr>
      <t>vlastní MČ</t>
    </r>
  </si>
  <si>
    <r>
      <t>dětská hřiště</t>
    </r>
    <r>
      <rPr>
        <sz val="7"/>
        <rFont val="Arial CE"/>
        <family val="2"/>
      </rPr>
      <t xml:space="preserve"> 4635 provoz MČ</t>
    </r>
  </si>
  <si>
    <r>
      <t xml:space="preserve">Pěší propoj Sídl </t>
    </r>
    <r>
      <rPr>
        <sz val="6"/>
        <rFont val="Arial CE"/>
        <family val="2"/>
      </rPr>
      <t>dopl z 2007</t>
    </r>
  </si>
  <si>
    <r>
      <t xml:space="preserve">DPPO UZ 099 </t>
    </r>
    <r>
      <rPr>
        <i/>
        <sz val="7"/>
        <rFont val="Arial CE"/>
        <family val="2"/>
      </rPr>
      <t>11.500,00</t>
    </r>
  </si>
  <si>
    <r>
      <t>LSPP</t>
    </r>
    <r>
      <rPr>
        <sz val="7"/>
        <rFont val="Arial CE"/>
        <family val="2"/>
      </rPr>
      <t xml:space="preserve"> 2007 z přeplatků</t>
    </r>
  </si>
  <si>
    <r>
      <t xml:space="preserve">hřiště </t>
    </r>
    <r>
      <rPr>
        <strike/>
        <sz val="7"/>
        <rFont val="Arial CE"/>
        <family val="2"/>
      </rPr>
      <t>sport.hala</t>
    </r>
  </si>
  <si>
    <r>
      <t>ÚMČ</t>
    </r>
    <r>
      <rPr>
        <sz val="7"/>
        <rFont val="Arial CE"/>
        <family val="2"/>
      </rPr>
      <t xml:space="preserve"> vč. Grantů MČ</t>
    </r>
  </si>
  <si>
    <t>2460 SFZ spl.půjč</t>
  </si>
  <si>
    <t>2329 2328 nahodilé:</t>
  </si>
  <si>
    <r>
      <t xml:space="preserve">čp. </t>
    </r>
    <r>
      <rPr>
        <sz val="6"/>
        <rFont val="Arial CE"/>
        <family val="2"/>
      </rPr>
      <t>1052,NZZ,153 kluz,4520 chodníky,domovn,1251, 1070-71,74-75,1517, 215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</si>
</sst>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2">
    <font>
      <sz val="10"/>
      <name val="Arial CE"/>
      <family val="0"/>
    </font>
    <font>
      <b/>
      <i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strike/>
      <sz val="7"/>
      <name val="Arial CE"/>
      <family val="2"/>
    </font>
    <font>
      <strike/>
      <sz val="6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i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9" fillId="0" borderId="6" xfId="0" applyNumberFormat="1" applyFont="1" applyFill="1" applyBorder="1" applyAlignment="1" applyProtection="1">
      <alignment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9" xfId="0" applyNumberFormat="1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0" fillId="0" borderId="4" xfId="0" applyNumberFormat="1" applyFont="1" applyFill="1" applyBorder="1" applyAlignment="1">
      <alignment/>
    </xf>
    <xf numFmtId="17" fontId="3" fillId="0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10" fillId="0" borderId="15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6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4" fontId="8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" fontId="10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" fontId="13" fillId="0" borderId="7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4" fontId="3" fillId="0" borderId="18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4" fontId="10" fillId="0" borderId="20" xfId="0" applyNumberFormat="1" applyFont="1" applyFill="1" applyBorder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9" fillId="0" borderId="6" xfId="0" applyNumberFormat="1" applyFont="1" applyFill="1" applyBorder="1" applyAlignment="1" applyProtection="1">
      <alignment/>
      <protection/>
    </xf>
    <xf numFmtId="3" fontId="9" fillId="0" borderId="8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7" fillId="0" borderId="21" xfId="0" applyNumberFormat="1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3" fillId="0" borderId="23" xfId="0" applyNumberFormat="1" applyFont="1" applyFill="1" applyBorder="1" applyAlignment="1">
      <alignment wrapText="1"/>
    </xf>
    <xf numFmtId="164" fontId="8" fillId="0" borderId="24" xfId="0" applyNumberFormat="1" applyFont="1" applyFill="1" applyBorder="1" applyAlignment="1">
      <alignment wrapText="1"/>
    </xf>
    <xf numFmtId="164" fontId="11" fillId="0" borderId="24" xfId="0" applyNumberFormat="1" applyFont="1" applyFill="1" applyBorder="1" applyAlignment="1">
      <alignment wrapText="1"/>
    </xf>
    <xf numFmtId="164" fontId="3" fillId="0" borderId="23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 wrapText="1"/>
    </xf>
    <xf numFmtId="164" fontId="11" fillId="0" borderId="25" xfId="0" applyNumberFormat="1" applyFont="1" applyFill="1" applyBorder="1" applyAlignment="1">
      <alignment wrapText="1"/>
    </xf>
    <xf numFmtId="164" fontId="9" fillId="0" borderId="26" xfId="0" applyNumberFormat="1" applyFont="1" applyFill="1" applyBorder="1" applyAlignment="1">
      <alignment/>
    </xf>
    <xf numFmtId="164" fontId="13" fillId="0" borderId="27" xfId="0" applyNumberFormat="1" applyFont="1" applyFill="1" applyBorder="1" applyAlignment="1">
      <alignment/>
    </xf>
    <xf numFmtId="164" fontId="13" fillId="0" borderId="27" xfId="0" applyNumberFormat="1" applyFont="1" applyFill="1" applyBorder="1" applyAlignment="1">
      <alignment wrapText="1"/>
    </xf>
    <xf numFmtId="164" fontId="14" fillId="0" borderId="28" xfId="0" applyNumberFormat="1" applyFont="1" applyFill="1" applyBorder="1" applyAlignment="1">
      <alignment/>
    </xf>
    <xf numFmtId="164" fontId="18" fillId="0" borderId="29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Alignment="1">
      <alignment/>
    </xf>
    <xf numFmtId="164" fontId="3" fillId="0" borderId="30" xfId="0" applyNumberFormat="1" applyFont="1" applyFill="1" applyBorder="1" applyAlignment="1">
      <alignment wrapText="1"/>
    </xf>
    <xf numFmtId="164" fontId="8" fillId="0" borderId="31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wrapText="1"/>
    </xf>
    <xf numFmtId="164" fontId="3" fillId="0" borderId="30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3" fillId="0" borderId="29" xfId="0" applyNumberFormat="1" applyFont="1" applyFill="1" applyBorder="1" applyAlignment="1" applyProtection="1">
      <alignment/>
      <protection/>
    </xf>
    <xf numFmtId="4" fontId="10" fillId="0" borderId="32" xfId="0" applyNumberFormat="1" applyFont="1" applyFill="1" applyBorder="1" applyAlignment="1" applyProtection="1">
      <alignment/>
      <protection/>
    </xf>
    <xf numFmtId="4" fontId="10" fillId="0" borderId="29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4" fontId="10" fillId="0" borderId="28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6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/>
    </xf>
    <xf numFmtId="164" fontId="3" fillId="0" borderId="34" xfId="0" applyNumberFormat="1" applyFont="1" applyFill="1" applyBorder="1" applyAlignment="1">
      <alignment wrapText="1"/>
    </xf>
    <xf numFmtId="164" fontId="8" fillId="0" borderId="35" xfId="0" applyNumberFormat="1" applyFont="1" applyFill="1" applyBorder="1" applyAlignment="1">
      <alignment wrapText="1"/>
    </xf>
    <xf numFmtId="164" fontId="11" fillId="0" borderId="3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8" fillId="0" borderId="33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right" wrapText="1"/>
    </xf>
    <xf numFmtId="3" fontId="3" fillId="0" borderId="3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9" fontId="10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3" fillId="0" borderId="41" xfId="0" applyNumberFormat="1" applyFont="1" applyFill="1" applyBorder="1" applyAlignment="1">
      <alignment wrapText="1"/>
    </xf>
    <xf numFmtId="164" fontId="8" fillId="0" borderId="39" xfId="0" applyNumberFormat="1" applyFont="1" applyFill="1" applyBorder="1" applyAlignment="1">
      <alignment wrapText="1"/>
    </xf>
    <xf numFmtId="164" fontId="11" fillId="0" borderId="27" xfId="0" applyNumberFormat="1" applyFont="1" applyFill="1" applyBorder="1" applyAlignment="1">
      <alignment wrapText="1"/>
    </xf>
    <xf numFmtId="10" fontId="3" fillId="0" borderId="37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164" fontId="11" fillId="0" borderId="31" xfId="0" applyNumberFormat="1" applyFont="1" applyFill="1" applyBorder="1" applyAlignment="1">
      <alignment wrapText="1"/>
    </xf>
    <xf numFmtId="10" fontId="3" fillId="0" borderId="18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164" fontId="3" fillId="0" borderId="44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0" fillId="0" borderId="44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0" fontId="9" fillId="0" borderId="48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164" fontId="13" fillId="0" borderId="28" xfId="0" applyNumberFormat="1" applyFont="1" applyFill="1" applyBorder="1" applyAlignment="1" applyProtection="1">
      <alignment/>
      <protection/>
    </xf>
    <xf numFmtId="0" fontId="9" fillId="0" borderId="49" xfId="0" applyNumberFormat="1" applyFont="1" applyFill="1" applyBorder="1" applyAlignment="1" applyProtection="1">
      <alignment/>
      <protection/>
    </xf>
    <xf numFmtId="0" fontId="10" fillId="0" borderId="5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right"/>
    </xf>
    <xf numFmtId="4" fontId="10" fillId="0" borderId="51" xfId="0" applyNumberFormat="1" applyFont="1" applyFill="1" applyBorder="1" applyAlignment="1" applyProtection="1">
      <alignment/>
      <protection/>
    </xf>
    <xf numFmtId="4" fontId="5" fillId="0" borderId="52" xfId="0" applyNumberFormat="1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8" fillId="0" borderId="27" xfId="0" applyNumberFormat="1" applyFont="1" applyFill="1" applyBorder="1" applyAlignment="1">
      <alignment wrapText="1"/>
    </xf>
    <xf numFmtId="0" fontId="9" fillId="0" borderId="55" xfId="0" applyNumberFormat="1" applyFont="1" applyFill="1" applyBorder="1" applyAlignment="1" applyProtection="1">
      <alignment/>
      <protection/>
    </xf>
    <xf numFmtId="4" fontId="10" fillId="0" borderId="25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 wrapText="1"/>
    </xf>
    <xf numFmtId="164" fontId="3" fillId="0" borderId="19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4" fontId="3" fillId="2" borderId="57" xfId="0" applyNumberFormat="1" applyFont="1" applyFill="1" applyBorder="1" applyAlignment="1">
      <alignment horizontal="center" wrapText="1"/>
    </xf>
    <xf numFmtId="4" fontId="3" fillId="2" borderId="54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13" fillId="2" borderId="5" xfId="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9" fillId="2" borderId="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3" fillId="2" borderId="58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" fontId="3" fillId="2" borderId="59" xfId="0" applyNumberFormat="1" applyFont="1" applyFill="1" applyBorder="1" applyAlignment="1">
      <alignment horizontal="center" wrapText="1"/>
    </xf>
    <xf numFmtId="4" fontId="3" fillId="2" borderId="60" xfId="0" applyNumberFormat="1" applyFont="1" applyFill="1" applyBorder="1" applyAlignment="1">
      <alignment/>
    </xf>
    <xf numFmtId="4" fontId="9" fillId="2" borderId="60" xfId="0" applyNumberFormat="1" applyFont="1" applyFill="1" applyBorder="1" applyAlignment="1">
      <alignment/>
    </xf>
    <xf numFmtId="4" fontId="8" fillId="2" borderId="60" xfId="0" applyNumberFormat="1" applyFont="1" applyFill="1" applyBorder="1" applyAlignment="1">
      <alignment/>
    </xf>
    <xf numFmtId="4" fontId="11" fillId="2" borderId="61" xfId="0" applyNumberFormat="1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/>
      <protection/>
    </xf>
    <xf numFmtId="164" fontId="9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4" fontId="3" fillId="2" borderId="62" xfId="0" applyNumberFormat="1" applyFont="1" applyFill="1" applyBorder="1" applyAlignment="1">
      <alignment/>
    </xf>
    <xf numFmtId="4" fontId="3" fillId="2" borderId="63" xfId="0" applyNumberFormat="1" applyFont="1" applyFill="1" applyBorder="1" applyAlignment="1">
      <alignment/>
    </xf>
    <xf numFmtId="4" fontId="8" fillId="2" borderId="62" xfId="0" applyNumberFormat="1" applyFont="1" applyFill="1" applyBorder="1" applyAlignment="1">
      <alignment/>
    </xf>
    <xf numFmtId="4" fontId="3" fillId="2" borderId="64" xfId="0" applyNumberFormat="1" applyFont="1" applyFill="1" applyBorder="1" applyAlignment="1">
      <alignment/>
    </xf>
    <xf numFmtId="4" fontId="9" fillId="2" borderId="61" xfId="0" applyNumberFormat="1" applyFont="1" applyFill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/>
      <protection/>
    </xf>
    <xf numFmtId="4" fontId="10" fillId="2" borderId="61" xfId="0" applyNumberFormat="1" applyFont="1" applyFill="1" applyBorder="1" applyAlignment="1" applyProtection="1">
      <alignment/>
      <protection/>
    </xf>
    <xf numFmtId="4" fontId="16" fillId="2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65" xfId="0" applyNumberFormat="1" applyFont="1" applyFill="1" applyBorder="1" applyAlignment="1">
      <alignment/>
    </xf>
    <xf numFmtId="0" fontId="0" fillId="0" borderId="65" xfId="0" applyNumberFormat="1" applyFont="1" applyFill="1" applyBorder="1" applyAlignment="1">
      <alignment/>
    </xf>
    <xf numFmtId="0" fontId="3" fillId="0" borderId="6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67" xfId="0" applyNumberFormat="1" applyFont="1" applyFill="1" applyBorder="1" applyAlignment="1">
      <alignment/>
    </xf>
    <xf numFmtId="4" fontId="10" fillId="0" borderId="68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4" fontId="10" fillId="0" borderId="69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/>
    </xf>
    <xf numFmtId="4" fontId="16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3" fillId="0" borderId="36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36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17" xfId="0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/>
    </xf>
    <xf numFmtId="164" fontId="4" fillId="0" borderId="55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13" fillId="2" borderId="60" xfId="0" applyNumberFormat="1" applyFont="1" applyFill="1" applyBorder="1" applyAlignment="1">
      <alignment/>
    </xf>
    <xf numFmtId="2" fontId="21" fillId="0" borderId="3" xfId="0" applyNumberFormat="1" applyFont="1" applyFill="1" applyBorder="1" applyAlignment="1">
      <alignment/>
    </xf>
    <xf numFmtId="4" fontId="9" fillId="2" borderId="63" xfId="0" applyNumberFormat="1" applyFont="1" applyFill="1" applyBorder="1" applyAlignment="1">
      <alignment/>
    </xf>
    <xf numFmtId="4" fontId="11" fillId="2" borderId="70" xfId="0" applyNumberFormat="1" applyFont="1" applyFill="1" applyBorder="1" applyAlignment="1">
      <alignment/>
    </xf>
    <xf numFmtId="4" fontId="11" fillId="0" borderId="7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10" fillId="0" borderId="7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4" fontId="11" fillId="0" borderId="40" xfId="0" applyNumberFormat="1" applyFont="1" applyFill="1" applyBorder="1" applyAlignment="1">
      <alignment wrapText="1"/>
    </xf>
    <xf numFmtId="164" fontId="11" fillId="0" borderId="42" xfId="0" applyNumberFormat="1" applyFont="1" applyFill="1" applyBorder="1" applyAlignment="1">
      <alignment wrapText="1"/>
    </xf>
    <xf numFmtId="164" fontId="8" fillId="0" borderId="56" xfId="0" applyNumberFormat="1" applyFont="1" applyFill="1" applyBorder="1" applyAlignment="1">
      <alignment wrapText="1"/>
    </xf>
    <xf numFmtId="4" fontId="3" fillId="0" borderId="72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73" xfId="0" applyNumberFormat="1" applyFont="1" applyFill="1" applyBorder="1" applyAlignment="1">
      <alignment/>
    </xf>
    <xf numFmtId="0" fontId="3" fillId="0" borderId="74" xfId="0" applyNumberFormat="1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4" fontId="9" fillId="2" borderId="70" xfId="0" applyNumberFormat="1" applyFont="1" applyFill="1" applyBorder="1" applyAlignment="1" applyProtection="1">
      <alignment/>
      <protection/>
    </xf>
    <xf numFmtId="4" fontId="10" fillId="0" borderId="7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4" fontId="10" fillId="0" borderId="7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4" fontId="1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55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9" fillId="0" borderId="77" xfId="0" applyNumberFormat="1" applyFont="1" applyFill="1" applyBorder="1" applyAlignment="1" applyProtection="1">
      <alignment/>
      <protection/>
    </xf>
    <xf numFmtId="0" fontId="0" fillId="0" borderId="78" xfId="0" applyFont="1" applyFill="1" applyBorder="1" applyAlignment="1">
      <alignment/>
    </xf>
    <xf numFmtId="0" fontId="5" fillId="0" borderId="55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4" fontId="3" fillId="0" borderId="19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164" fontId="18" fillId="0" borderId="8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4" fontId="5" fillId="0" borderId="65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8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99" sqref="J99"/>
    </sheetView>
  </sheetViews>
  <sheetFormatPr defaultColWidth="9.00390625" defaultRowHeight="12.75"/>
  <cols>
    <col min="1" max="1" width="13.125" style="20" customWidth="1"/>
    <col min="2" max="2" width="7.00390625" style="20" customWidth="1"/>
    <col min="3" max="3" width="20.75390625" style="20" customWidth="1"/>
    <col min="4" max="4" width="9.25390625" style="86" customWidth="1"/>
    <col min="5" max="7" width="8.75390625" style="87" hidden="1" customWidth="1"/>
    <col min="8" max="8" width="8.75390625" style="88" hidden="1" customWidth="1"/>
    <col min="9" max="9" width="9.625" style="88" customWidth="1"/>
    <col min="10" max="10" width="13.75390625" style="173" customWidth="1"/>
    <col min="11" max="11" width="11.875" style="201" hidden="1" customWidth="1"/>
    <col min="12" max="12" width="13.00390625" style="201" hidden="1" customWidth="1"/>
    <col min="13" max="13" width="12.00390625" style="201" hidden="1" customWidth="1"/>
    <col min="14" max="14" width="13.00390625" style="201" hidden="1" customWidth="1"/>
    <col min="15" max="15" width="9.75390625" style="35" customWidth="1"/>
    <col min="16" max="16" width="11.875" style="52" customWidth="1"/>
    <col min="17" max="17" width="9.25390625" style="52" customWidth="1"/>
    <col min="18" max="20" width="8.75390625" style="90" hidden="1" customWidth="1"/>
    <col min="21" max="21" width="8.75390625" style="88" hidden="1" customWidth="1"/>
    <col min="22" max="22" width="9.625" style="88" customWidth="1"/>
    <col min="23" max="23" width="13.75390625" style="173" customWidth="1"/>
    <col min="24" max="16384" width="9.125" style="33" customWidth="1"/>
  </cols>
  <sheetData>
    <row r="1" spans="10:23" ht="13.5" thickBot="1">
      <c r="J1" s="88"/>
      <c r="W1" s="88"/>
    </row>
    <row r="2" spans="1:23" ht="14.25" customHeight="1" thickTop="1">
      <c r="A2" s="275" t="s">
        <v>128</v>
      </c>
      <c r="B2" s="276"/>
      <c r="C2" s="277"/>
      <c r="D2" s="281" t="s">
        <v>113</v>
      </c>
      <c r="E2" s="282"/>
      <c r="F2" s="282"/>
      <c r="G2" s="282"/>
      <c r="H2" s="282"/>
      <c r="I2" s="282"/>
      <c r="J2" s="283"/>
      <c r="K2" s="202" t="s">
        <v>31</v>
      </c>
      <c r="L2" s="203"/>
      <c r="M2" s="202">
        <f>1263*0.09</f>
        <v>113.67</v>
      </c>
      <c r="N2" s="203"/>
      <c r="O2" s="284"/>
      <c r="P2" s="285"/>
      <c r="Q2" s="281" t="s">
        <v>114</v>
      </c>
      <c r="R2" s="282"/>
      <c r="S2" s="282"/>
      <c r="T2" s="282"/>
      <c r="U2" s="282"/>
      <c r="V2" s="282"/>
      <c r="W2" s="288"/>
    </row>
    <row r="3" spans="1:23" s="67" customFormat="1" ht="33" thickBot="1">
      <c r="A3" s="278"/>
      <c r="B3" s="279"/>
      <c r="C3" s="280"/>
      <c r="D3" s="65" t="s">
        <v>129</v>
      </c>
      <c r="E3" s="66" t="s">
        <v>115</v>
      </c>
      <c r="F3" s="66" t="s">
        <v>216</v>
      </c>
      <c r="G3" s="66"/>
      <c r="H3" s="66" t="s">
        <v>116</v>
      </c>
      <c r="I3" s="66" t="s">
        <v>116</v>
      </c>
      <c r="J3" s="174" t="s">
        <v>130</v>
      </c>
      <c r="K3" s="204" t="s">
        <v>131</v>
      </c>
      <c r="L3" s="204" t="s">
        <v>132</v>
      </c>
      <c r="M3" s="205" t="s">
        <v>133</v>
      </c>
      <c r="N3" s="205" t="s">
        <v>134</v>
      </c>
      <c r="O3" s="286"/>
      <c r="P3" s="287"/>
      <c r="Q3" s="65" t="s">
        <v>129</v>
      </c>
      <c r="R3" s="66" t="s">
        <v>115</v>
      </c>
      <c r="S3" s="66"/>
      <c r="T3" s="66" t="s">
        <v>216</v>
      </c>
      <c r="U3" s="66" t="s">
        <v>116</v>
      </c>
      <c r="V3" s="66" t="s">
        <v>116</v>
      </c>
      <c r="W3" s="184" t="s">
        <v>130</v>
      </c>
    </row>
    <row r="4" spans="1:23" ht="13.5" hidden="1" thickTop="1">
      <c r="A4" s="161" t="s">
        <v>0</v>
      </c>
      <c r="B4" s="162"/>
      <c r="C4" s="163"/>
      <c r="D4" s="107"/>
      <c r="E4" s="108"/>
      <c r="F4" s="108"/>
      <c r="G4" s="108"/>
      <c r="H4" s="109"/>
      <c r="I4" s="109"/>
      <c r="J4" s="175"/>
      <c r="K4" s="206"/>
      <c r="L4" s="207">
        <f aca="true" t="shared" si="0" ref="L4:L11">J4+K4</f>
        <v>0</v>
      </c>
      <c r="M4" s="208"/>
      <c r="N4" s="207">
        <f>L4+M4</f>
        <v>0</v>
      </c>
      <c r="O4" s="36"/>
      <c r="P4" s="37"/>
      <c r="Q4" s="71"/>
      <c r="R4" s="76"/>
      <c r="S4" s="69"/>
      <c r="T4" s="69"/>
      <c r="U4" s="70">
        <f>Q4+R4</f>
        <v>0</v>
      </c>
      <c r="V4" s="169">
        <f>U4+T4</f>
        <v>0</v>
      </c>
      <c r="W4" s="185"/>
    </row>
    <row r="5" spans="1:23" ht="13.5" thickTop="1">
      <c r="A5" s="4" t="s">
        <v>204</v>
      </c>
      <c r="B5" s="2">
        <v>2321</v>
      </c>
      <c r="C5" s="28" t="s">
        <v>31</v>
      </c>
      <c r="D5" s="164"/>
      <c r="E5" s="165"/>
      <c r="F5" s="165">
        <v>2</v>
      </c>
      <c r="G5" s="165"/>
      <c r="H5" s="132">
        <f>D5+E5</f>
        <v>0</v>
      </c>
      <c r="I5" s="74">
        <f>H5+F5</f>
        <v>2</v>
      </c>
      <c r="J5" s="176">
        <f>0+12/12*17568</f>
        <v>17568</v>
      </c>
      <c r="K5" s="209"/>
      <c r="L5" s="210"/>
      <c r="M5" s="211"/>
      <c r="N5" s="210"/>
      <c r="O5" s="36"/>
      <c r="P5" s="37"/>
      <c r="Q5" s="71"/>
      <c r="R5" s="76"/>
      <c r="S5" s="69"/>
      <c r="T5" s="69"/>
      <c r="U5" s="70"/>
      <c r="V5" s="169"/>
      <c r="W5" s="185"/>
    </row>
    <row r="6" spans="1:23" ht="12.75">
      <c r="A6" s="4"/>
      <c r="B6" s="2">
        <v>3421</v>
      </c>
      <c r="C6" s="110" t="s">
        <v>217</v>
      </c>
      <c r="D6" s="72"/>
      <c r="E6" s="73"/>
      <c r="F6" s="73">
        <f>4</f>
        <v>4</v>
      </c>
      <c r="G6" s="73"/>
      <c r="H6" s="70">
        <f aca="true" t="shared" si="1" ref="H6:H68">D6+E6</f>
        <v>0</v>
      </c>
      <c r="I6" s="74">
        <f>H6+F6</f>
        <v>4</v>
      </c>
      <c r="J6" s="177">
        <f>9/9*1666+1645.7</f>
        <v>3311.7</v>
      </c>
      <c r="K6" s="212"/>
      <c r="L6" s="168">
        <f t="shared" si="0"/>
        <v>3311.7</v>
      </c>
      <c r="M6" s="9"/>
      <c r="N6" s="168">
        <f>L6+M6</f>
        <v>3311.7</v>
      </c>
      <c r="O6" s="271"/>
      <c r="P6" s="272"/>
      <c r="Q6" s="75"/>
      <c r="R6" s="76"/>
      <c r="S6" s="76"/>
      <c r="T6" s="76"/>
      <c r="U6" s="74">
        <f>Q6+R6</f>
        <v>0</v>
      </c>
      <c r="V6" s="169">
        <f>U6+T6</f>
        <v>0</v>
      </c>
      <c r="W6" s="185"/>
    </row>
    <row r="7" spans="1:23" ht="12.75">
      <c r="A7" s="4" t="s">
        <v>204</v>
      </c>
      <c r="B7" s="2">
        <v>2329</v>
      </c>
      <c r="C7" s="28" t="s">
        <v>135</v>
      </c>
      <c r="D7" s="72"/>
      <c r="E7" s="73"/>
      <c r="F7" s="73">
        <v>23</v>
      </c>
      <c r="G7" s="73"/>
      <c r="H7" s="74">
        <f>D7+E7</f>
        <v>0</v>
      </c>
      <c r="I7" s="213">
        <f>H7+F7</f>
        <v>23</v>
      </c>
      <c r="J7" s="177">
        <f>1052/1052*7000*0*8/8+5/5*23036.34</f>
        <v>23036.34</v>
      </c>
      <c r="K7" s="209"/>
      <c r="L7" s="210"/>
      <c r="M7" s="211"/>
      <c r="N7" s="210"/>
      <c r="O7" s="36"/>
      <c r="P7" s="37"/>
      <c r="Q7" s="71"/>
      <c r="R7" s="76"/>
      <c r="S7" s="69"/>
      <c r="T7" s="69"/>
      <c r="U7" s="70"/>
      <c r="V7" s="169"/>
      <c r="W7" s="185"/>
    </row>
    <row r="8" spans="1:23" ht="12.75" hidden="1">
      <c r="A8" s="1" t="s">
        <v>208</v>
      </c>
      <c r="B8" s="2">
        <v>3722</v>
      </c>
      <c r="C8" s="28" t="s">
        <v>1</v>
      </c>
      <c r="D8" s="72"/>
      <c r="E8" s="73"/>
      <c r="F8" s="73"/>
      <c r="G8" s="73"/>
      <c r="H8" s="70">
        <f t="shared" si="1"/>
        <v>0</v>
      </c>
      <c r="I8" s="169">
        <f>H8+F8</f>
        <v>0</v>
      </c>
      <c r="J8" s="177"/>
      <c r="K8" s="212"/>
      <c r="L8" s="168">
        <f t="shared" si="0"/>
        <v>0</v>
      </c>
      <c r="M8" s="9"/>
      <c r="N8" s="168">
        <f>L8+M8</f>
        <v>0</v>
      </c>
      <c r="O8" s="38" t="s">
        <v>80</v>
      </c>
      <c r="P8" s="39"/>
      <c r="Q8" s="75"/>
      <c r="R8" s="76"/>
      <c r="S8" s="73"/>
      <c r="T8" s="73"/>
      <c r="U8" s="74">
        <f aca="true" t="shared" si="2" ref="U8:U18">Q8+R8</f>
        <v>0</v>
      </c>
      <c r="V8" s="169">
        <f>U8+T8</f>
        <v>0</v>
      </c>
      <c r="W8" s="185"/>
    </row>
    <row r="9" spans="1:23" ht="21" customHeight="1" hidden="1">
      <c r="A9" s="1" t="s">
        <v>0</v>
      </c>
      <c r="B9" s="2">
        <v>3745</v>
      </c>
      <c r="C9" s="110" t="s">
        <v>31</v>
      </c>
      <c r="D9" s="72"/>
      <c r="E9" s="73"/>
      <c r="F9" s="73"/>
      <c r="G9" s="73"/>
      <c r="H9" s="70">
        <f t="shared" si="1"/>
        <v>0</v>
      </c>
      <c r="I9" s="169">
        <f>H9+F9</f>
        <v>0</v>
      </c>
      <c r="J9" s="177"/>
      <c r="K9" s="212"/>
      <c r="L9" s="168">
        <f t="shared" si="0"/>
        <v>0</v>
      </c>
      <c r="M9" s="9"/>
      <c r="N9" s="168">
        <f>L9+M9</f>
        <v>0</v>
      </c>
      <c r="O9" s="271"/>
      <c r="P9" s="272"/>
      <c r="Q9" s="75"/>
      <c r="R9" s="76"/>
      <c r="S9" s="76"/>
      <c r="T9" s="76"/>
      <c r="U9" s="74">
        <f t="shared" si="2"/>
        <v>0</v>
      </c>
      <c r="V9" s="169">
        <f>U9+T9</f>
        <v>0</v>
      </c>
      <c r="W9" s="185"/>
    </row>
    <row r="10" spans="1:23" s="104" customFormat="1" ht="12.75">
      <c r="A10" s="264" t="s">
        <v>119</v>
      </c>
      <c r="B10" s="265"/>
      <c r="C10" s="14">
        <f>J10+J121+J136+J137+J151-2/2*307000*0-3/3*607000*0-4/4*908666*0-5/5*1231702.34*0-6/6*1531702.34*0-7/7*1831702.34*0-8/8*2124702.34*0-9/9*2751202.34*0-10/10*3051202.34*0-12/12*5050916.04</f>
        <v>0</v>
      </c>
      <c r="D10" s="77">
        <f>SUM(D4:D9)</f>
        <v>0</v>
      </c>
      <c r="E10" s="78">
        <f>SUM(E4:E9)</f>
        <v>0</v>
      </c>
      <c r="F10" s="78">
        <f>SUM(F4:F9)</f>
        <v>29</v>
      </c>
      <c r="G10" s="78"/>
      <c r="H10" s="79">
        <f t="shared" si="1"/>
        <v>0</v>
      </c>
      <c r="I10" s="78">
        <f aca="true" t="shared" si="3" ref="I10:N10">SUM(I4:I9)</f>
        <v>29</v>
      </c>
      <c r="J10" s="178">
        <f t="shared" si="3"/>
        <v>43916.04</v>
      </c>
      <c r="K10" s="167">
        <f t="shared" si="3"/>
        <v>0</v>
      </c>
      <c r="L10" s="168">
        <f t="shared" si="3"/>
        <v>3311.7</v>
      </c>
      <c r="M10" s="167">
        <f t="shared" si="3"/>
        <v>0</v>
      </c>
      <c r="N10" s="168">
        <f t="shared" si="3"/>
        <v>3311.7</v>
      </c>
      <c r="O10" s="38">
        <f>V10+V121+7/7*V151-2/2*(2/2*3600*0+7/7*8600*0+11/11*3600)</f>
        <v>0</v>
      </c>
      <c r="P10" s="111">
        <f>W10+W121+W151-2/2*(2/2*3600000+9/9*5000000+12/12*-5000000)</f>
        <v>0</v>
      </c>
      <c r="Q10" s="77">
        <f>SUM(Q4:Q9)</f>
        <v>0</v>
      </c>
      <c r="R10" s="78">
        <f>SUM(R4:R9)</f>
        <v>0</v>
      </c>
      <c r="S10" s="78"/>
      <c r="T10" s="78">
        <f>SUM(T4:T9)</f>
        <v>0</v>
      </c>
      <c r="U10" s="79">
        <f t="shared" si="2"/>
        <v>0</v>
      </c>
      <c r="V10" s="78">
        <f>SUM(V4:V9)</f>
        <v>0</v>
      </c>
      <c r="W10" s="186">
        <f>SUM(W4:W9)</f>
        <v>0</v>
      </c>
    </row>
    <row r="11" spans="1:23" ht="12.75">
      <c r="A11" s="4" t="s">
        <v>2</v>
      </c>
      <c r="B11" s="2">
        <v>2212</v>
      </c>
      <c r="C11" s="28" t="s">
        <v>3</v>
      </c>
      <c r="D11" s="72">
        <v>400</v>
      </c>
      <c r="E11" s="73"/>
      <c r="F11" s="73">
        <f>-349+172</f>
        <v>-177</v>
      </c>
      <c r="G11" s="73"/>
      <c r="H11" s="70">
        <f t="shared" si="1"/>
        <v>400</v>
      </c>
      <c r="I11" s="169">
        <f aca="true" t="shared" si="4" ref="I11:I30">H11+F11</f>
        <v>223</v>
      </c>
      <c r="J11" s="179">
        <f>68222.2*0+3/3*80394.3*0+4/4*119825.23*0+5/5*122795.53+7/7*8357.4+8/8*11832.1+10/10*40398.2-183383.23+12/12*223117.76</f>
        <v>223117.75999999998</v>
      </c>
      <c r="K11" s="212"/>
      <c r="L11" s="168">
        <f t="shared" si="0"/>
        <v>223117.75999999998</v>
      </c>
      <c r="M11" s="9"/>
      <c r="N11" s="168">
        <f>L11+M11</f>
        <v>223117.75999999998</v>
      </c>
      <c r="O11" s="40"/>
      <c r="P11" s="39"/>
      <c r="Q11" s="75"/>
      <c r="R11" s="76"/>
      <c r="S11" s="76"/>
      <c r="T11" s="74"/>
      <c r="U11" s="74">
        <f>Q11+R11</f>
        <v>0</v>
      </c>
      <c r="V11" s="169">
        <f aca="true" t="shared" si="5" ref="V11:V30">U11+T11</f>
        <v>0</v>
      </c>
      <c r="W11" s="185"/>
    </row>
    <row r="12" spans="1:23" ht="12.75">
      <c r="A12" s="26" t="s">
        <v>136</v>
      </c>
      <c r="B12" s="27" t="s">
        <v>71</v>
      </c>
      <c r="C12" s="28" t="s">
        <v>218</v>
      </c>
      <c r="D12" s="72"/>
      <c r="E12" s="69"/>
      <c r="F12" s="69">
        <v>809</v>
      </c>
      <c r="G12" s="69"/>
      <c r="H12" s="74">
        <f t="shared" si="1"/>
        <v>0</v>
      </c>
      <c r="I12" s="169">
        <f t="shared" si="4"/>
        <v>809</v>
      </c>
      <c r="J12" s="177">
        <f>4/4*380653.09*0+5/5*808865.99+(2007/2007*3500000*19%-665000)</f>
        <v>808865.99</v>
      </c>
      <c r="K12" s="212"/>
      <c r="L12" s="168"/>
      <c r="M12" s="9"/>
      <c r="N12" s="168"/>
      <c r="O12" s="40"/>
      <c r="P12" s="39"/>
      <c r="Q12" s="75"/>
      <c r="R12" s="76"/>
      <c r="S12" s="76"/>
      <c r="T12" s="74"/>
      <c r="U12" s="74"/>
      <c r="V12" s="169"/>
      <c r="W12" s="185"/>
    </row>
    <row r="13" spans="1:23" ht="12.75">
      <c r="A13" s="26"/>
      <c r="B13" s="214">
        <v>2212</v>
      </c>
      <c r="C13" s="28" t="s">
        <v>137</v>
      </c>
      <c r="D13" s="72"/>
      <c r="E13" s="69"/>
      <c r="F13" s="69">
        <v>9</v>
      </c>
      <c r="G13" s="69"/>
      <c r="H13" s="70"/>
      <c r="I13" s="169">
        <f t="shared" si="4"/>
        <v>9</v>
      </c>
      <c r="J13" s="177">
        <f>11/11*116971.1</f>
        <v>116971.1</v>
      </c>
      <c r="K13" s="212"/>
      <c r="L13" s="168"/>
      <c r="M13" s="9"/>
      <c r="N13" s="168"/>
      <c r="O13" s="40"/>
      <c r="P13" s="39"/>
      <c r="Q13" s="75"/>
      <c r="R13" s="76"/>
      <c r="S13" s="76"/>
      <c r="T13" s="74"/>
      <c r="U13" s="74"/>
      <c r="V13" s="169"/>
      <c r="W13" s="185"/>
    </row>
    <row r="14" spans="1:23" ht="12.75" hidden="1">
      <c r="A14" s="4"/>
      <c r="B14" s="2">
        <v>2212</v>
      </c>
      <c r="C14" s="28" t="s">
        <v>4</v>
      </c>
      <c r="D14" s="72"/>
      <c r="E14" s="73"/>
      <c r="F14" s="73"/>
      <c r="G14" s="73"/>
      <c r="H14" s="70">
        <f t="shared" si="1"/>
        <v>0</v>
      </c>
      <c r="I14" s="169">
        <f t="shared" si="4"/>
        <v>0</v>
      </c>
      <c r="J14" s="179"/>
      <c r="K14" s="212"/>
      <c r="L14" s="215"/>
      <c r="M14" s="9"/>
      <c r="N14" s="168">
        <f>L14+M14</f>
        <v>0</v>
      </c>
      <c r="O14" s="38"/>
      <c r="P14" s="39"/>
      <c r="Q14" s="75"/>
      <c r="R14" s="76"/>
      <c r="S14" s="76"/>
      <c r="T14" s="74"/>
      <c r="U14" s="74">
        <f t="shared" si="2"/>
        <v>0</v>
      </c>
      <c r="V14" s="169">
        <f t="shared" si="5"/>
        <v>0</v>
      </c>
      <c r="W14" s="185"/>
    </row>
    <row r="15" spans="1:23" ht="12.75" hidden="1">
      <c r="A15" s="4"/>
      <c r="B15" s="2">
        <v>2212</v>
      </c>
      <c r="C15" s="28" t="s">
        <v>5</v>
      </c>
      <c r="D15" s="72"/>
      <c r="E15" s="73"/>
      <c r="F15" s="73"/>
      <c r="G15" s="73"/>
      <c r="H15" s="70">
        <f t="shared" si="1"/>
        <v>0</v>
      </c>
      <c r="I15" s="169">
        <f t="shared" si="4"/>
        <v>0</v>
      </c>
      <c r="J15" s="179"/>
      <c r="K15" s="212"/>
      <c r="L15" s="215"/>
      <c r="M15" s="9"/>
      <c r="N15" s="168">
        <f>L15+M15</f>
        <v>0</v>
      </c>
      <c r="O15" s="38"/>
      <c r="P15" s="39"/>
      <c r="Q15" s="75"/>
      <c r="R15" s="76"/>
      <c r="S15" s="76"/>
      <c r="T15" s="74"/>
      <c r="U15" s="74">
        <f t="shared" si="2"/>
        <v>0</v>
      </c>
      <c r="V15" s="169">
        <f t="shared" si="5"/>
        <v>0</v>
      </c>
      <c r="W15" s="185"/>
    </row>
    <row r="16" spans="1:23" ht="12.75" hidden="1">
      <c r="A16" s="4"/>
      <c r="B16" s="2">
        <v>2212</v>
      </c>
      <c r="C16" s="28" t="s">
        <v>6</v>
      </c>
      <c r="D16" s="72"/>
      <c r="E16" s="73"/>
      <c r="F16" s="73"/>
      <c r="G16" s="73"/>
      <c r="H16" s="70">
        <f t="shared" si="1"/>
        <v>0</v>
      </c>
      <c r="I16" s="169">
        <f>H16+F16</f>
        <v>0</v>
      </c>
      <c r="J16" s="179"/>
      <c r="K16" s="212"/>
      <c r="L16" s="215"/>
      <c r="M16" s="9"/>
      <c r="N16" s="168"/>
      <c r="O16" s="38"/>
      <c r="P16" s="39"/>
      <c r="Q16" s="75"/>
      <c r="R16" s="76"/>
      <c r="S16" s="76"/>
      <c r="T16" s="74"/>
      <c r="U16" s="74">
        <f t="shared" si="2"/>
        <v>0</v>
      </c>
      <c r="V16" s="169">
        <f t="shared" si="5"/>
        <v>0</v>
      </c>
      <c r="W16" s="185"/>
    </row>
    <row r="17" spans="1:23" ht="12.75">
      <c r="A17" s="4"/>
      <c r="B17" s="2">
        <v>2219</v>
      </c>
      <c r="C17" s="28" t="s">
        <v>7</v>
      </c>
      <c r="D17" s="72"/>
      <c r="E17" s="73"/>
      <c r="F17" s="73">
        <v>18</v>
      </c>
      <c r="G17" s="73"/>
      <c r="H17" s="70">
        <f t="shared" si="1"/>
        <v>0</v>
      </c>
      <c r="I17" s="169">
        <f t="shared" si="4"/>
        <v>18</v>
      </c>
      <c r="J17" s="179">
        <f>3/3*782.5*0+6/6*6022.5+7/7*7818+8/8*3100+10/10*1217.55</f>
        <v>18158.05</v>
      </c>
      <c r="K17" s="212"/>
      <c r="L17" s="168">
        <f aca="true" t="shared" si="6" ref="L17:L30">J17+K17</f>
        <v>18158.05</v>
      </c>
      <c r="M17" s="9"/>
      <c r="N17" s="168">
        <f>L17+M17</f>
        <v>18158.05</v>
      </c>
      <c r="O17" s="38"/>
      <c r="P17" s="39"/>
      <c r="Q17" s="75"/>
      <c r="R17" s="76"/>
      <c r="S17" s="76"/>
      <c r="T17" s="73"/>
      <c r="U17" s="74">
        <f t="shared" si="2"/>
        <v>0</v>
      </c>
      <c r="V17" s="169">
        <f t="shared" si="5"/>
        <v>0</v>
      </c>
      <c r="W17" s="185"/>
    </row>
    <row r="18" spans="1:23" s="104" customFormat="1" ht="12">
      <c r="A18" s="166" t="s">
        <v>120</v>
      </c>
      <c r="B18" s="216"/>
      <c r="C18" s="14">
        <f>J18+J149-2/2*68222.2*0-3/3*81176.8*0-4/4*501260.82*0-5/5*932444.02*0-6/6*937684.02*0-7/7*953859.42*0-8/8*968791.52*0-10/10*1010407.27*0-11/11*1127378.37*0-12/12*1167112.9</f>
        <v>0</v>
      </c>
      <c r="D18" s="77">
        <f>SUM(D11:D17)</f>
        <v>400</v>
      </c>
      <c r="E18" s="78">
        <f>SUM(E11:E17)</f>
        <v>0</v>
      </c>
      <c r="F18" s="78">
        <f>SUM(F11:F17)</f>
        <v>659</v>
      </c>
      <c r="G18" s="78"/>
      <c r="H18" s="79">
        <f t="shared" si="1"/>
        <v>400</v>
      </c>
      <c r="I18" s="78">
        <f aca="true" t="shared" si="7" ref="I18:N18">SUM(I11:I17)</f>
        <v>1059</v>
      </c>
      <c r="J18" s="178">
        <f t="shared" si="7"/>
        <v>1167112.9000000001</v>
      </c>
      <c r="K18" s="167">
        <f t="shared" si="7"/>
        <v>0</v>
      </c>
      <c r="L18" s="168">
        <f t="shared" si="7"/>
        <v>241275.80999999997</v>
      </c>
      <c r="M18" s="167">
        <f t="shared" si="7"/>
        <v>0</v>
      </c>
      <c r="N18" s="168">
        <f t="shared" si="7"/>
        <v>241275.80999999997</v>
      </c>
      <c r="O18" s="38">
        <f>V18-3/3*(2/2*0)</f>
        <v>0</v>
      </c>
      <c r="P18" s="111">
        <f>W18-3/3*(2/2*0)</f>
        <v>0</v>
      </c>
      <c r="Q18" s="77">
        <f>SUM(Q11:Q17)</f>
        <v>0</v>
      </c>
      <c r="R18" s="78">
        <f>SUM(R11:R17)</f>
        <v>0</v>
      </c>
      <c r="S18" s="78"/>
      <c r="T18" s="78">
        <f>SUM(T11:T17)</f>
        <v>0</v>
      </c>
      <c r="U18" s="79">
        <f t="shared" si="2"/>
        <v>0</v>
      </c>
      <c r="V18" s="78">
        <f>SUM(V11:V17)</f>
        <v>0</v>
      </c>
      <c r="W18" s="186">
        <f>SUM(W11:W17)</f>
        <v>0</v>
      </c>
    </row>
    <row r="19" spans="1:23" ht="12.75">
      <c r="A19" s="4" t="s">
        <v>8</v>
      </c>
      <c r="B19" s="2">
        <v>3111</v>
      </c>
      <c r="C19" s="28" t="s">
        <v>9</v>
      </c>
      <c r="D19" s="72">
        <f>1380*1.05+1</f>
        <v>1450</v>
      </c>
      <c r="E19" s="73"/>
      <c r="F19" s="73"/>
      <c r="G19" s="73"/>
      <c r="H19" s="70">
        <f t="shared" si="1"/>
        <v>1450</v>
      </c>
      <c r="I19" s="169">
        <f t="shared" si="4"/>
        <v>1450</v>
      </c>
      <c r="J19" s="177">
        <f>240000*0+3/3*360000*0+6/6*740000*0+9/9*1090000+10/10*120000+12/12*240000</f>
        <v>1450000</v>
      </c>
      <c r="K19" s="212"/>
      <c r="L19" s="168">
        <f t="shared" si="6"/>
        <v>1450000</v>
      </c>
      <c r="M19" s="9">
        <f>1490000-1117500</f>
        <v>372500</v>
      </c>
      <c r="N19" s="168">
        <f aca="true" t="shared" si="8" ref="N19:N30">L19+M19</f>
        <v>1822500</v>
      </c>
      <c r="O19" s="38"/>
      <c r="P19" s="39"/>
      <c r="Q19" s="75"/>
      <c r="R19" s="76"/>
      <c r="S19" s="76"/>
      <c r="T19" s="76"/>
      <c r="U19" s="74">
        <f>Q19+R19</f>
        <v>0</v>
      </c>
      <c r="V19" s="169">
        <f t="shared" si="5"/>
        <v>0</v>
      </c>
      <c r="W19" s="185"/>
    </row>
    <row r="20" spans="1:23" ht="12.75" customHeight="1">
      <c r="A20" s="112"/>
      <c r="B20" s="5"/>
      <c r="C20" s="14">
        <f>J19+J20-2/2*240000*0-6/6*741344*0-9/9*1091344*0-10/10*1214473.5*0-11/11*1211344-12/12*240000</f>
        <v>0</v>
      </c>
      <c r="D20" s="72"/>
      <c r="E20" s="73"/>
      <c r="F20" s="73"/>
      <c r="G20" s="73"/>
      <c r="H20" s="70">
        <f t="shared" si="1"/>
        <v>0</v>
      </c>
      <c r="I20" s="169">
        <f t="shared" si="4"/>
        <v>0</v>
      </c>
      <c r="J20" s="177">
        <f>4/4*(361344-360000)*0+9/9*(1091344*0+10/10*1214473.5*0+11/11*1211344+12/12*240000-J19)</f>
        <v>1344</v>
      </c>
      <c r="K20" s="212"/>
      <c r="L20" s="168">
        <f t="shared" si="6"/>
        <v>1344</v>
      </c>
      <c r="M20" s="9"/>
      <c r="N20" s="168">
        <f t="shared" si="8"/>
        <v>1344</v>
      </c>
      <c r="O20" s="38" t="s">
        <v>138</v>
      </c>
      <c r="P20" s="39"/>
      <c r="Q20" s="75">
        <f>245*1.36-0.2</f>
        <v>333.00000000000006</v>
      </c>
      <c r="R20" s="76"/>
      <c r="S20" s="76"/>
      <c r="T20" s="76"/>
      <c r="U20" s="74">
        <f>Q20+R20</f>
        <v>333.00000000000006</v>
      </c>
      <c r="V20" s="169">
        <f t="shared" si="5"/>
        <v>333.00000000000006</v>
      </c>
      <c r="W20" s="185">
        <f>(2/2*1726000*0+3/3*2589000*0+3452000*0+5/5*4315000*0+6/6*5178000*0+7/7*6041000*0+9/9*7767000*0+10/10*8630000*0+11/11*9493000*0+12/12*10358000)*333/(333+677+9348)-489.28365*0+3/3*-233.92547*0+4/4*21.4327*0+5/5*276.7909*0+6/6*(-467*0+532.1491)*0+7/7*-212.4928*0+9/9*298.2236*0+10/10*-446.4182*0+11/11*-191.0601*0</f>
        <v>333000</v>
      </c>
    </row>
    <row r="21" spans="1:23" ht="12.75">
      <c r="A21" s="112"/>
      <c r="B21" s="5"/>
      <c r="C21" s="14" t="s">
        <v>139</v>
      </c>
      <c r="D21" s="72"/>
      <c r="E21" s="73"/>
      <c r="F21" s="73">
        <v>42</v>
      </c>
      <c r="G21" s="73"/>
      <c r="H21" s="70"/>
      <c r="I21" s="169">
        <f t="shared" si="4"/>
        <v>42</v>
      </c>
      <c r="J21" s="177">
        <v>60092</v>
      </c>
      <c r="K21" s="212"/>
      <c r="L21" s="168"/>
      <c r="M21" s="9"/>
      <c r="N21" s="168"/>
      <c r="O21" s="38"/>
      <c r="P21" s="39"/>
      <c r="Q21" s="75"/>
      <c r="R21" s="76"/>
      <c r="S21" s="76"/>
      <c r="T21" s="76"/>
      <c r="U21" s="74"/>
      <c r="V21" s="169"/>
      <c r="W21" s="185"/>
    </row>
    <row r="22" spans="1:23" ht="12.75">
      <c r="A22" s="112"/>
      <c r="B22" s="217" t="s">
        <v>140</v>
      </c>
      <c r="C22" s="14" t="s">
        <v>141</v>
      </c>
      <c r="D22" s="72"/>
      <c r="E22" s="73">
        <f>7/7*99/99*611.5</f>
        <v>611.5</v>
      </c>
      <c r="F22" s="73">
        <v>-15.5</v>
      </c>
      <c r="G22" s="73"/>
      <c r="H22" s="70">
        <f t="shared" si="1"/>
        <v>611.5</v>
      </c>
      <c r="I22" s="169">
        <f t="shared" si="4"/>
        <v>596</v>
      </c>
      <c r="J22" s="177">
        <f>9/9*0+10/10*(590931-611500*0)</f>
        <v>590931</v>
      </c>
      <c r="K22" s="212"/>
      <c r="L22" s="168"/>
      <c r="M22" s="9"/>
      <c r="N22" s="168"/>
      <c r="O22" s="38"/>
      <c r="P22" s="39"/>
      <c r="Q22" s="75"/>
      <c r="R22" s="76"/>
      <c r="S22" s="76"/>
      <c r="T22" s="76"/>
      <c r="U22" s="74"/>
      <c r="V22" s="169"/>
      <c r="W22" s="185"/>
    </row>
    <row r="23" spans="1:23" ht="12.75">
      <c r="A23" s="4" t="s">
        <v>31</v>
      </c>
      <c r="B23" s="2">
        <v>3113</v>
      </c>
      <c r="C23" s="110" t="s">
        <v>63</v>
      </c>
      <c r="D23" s="72">
        <f>2830*1.05-1.5</f>
        <v>2970</v>
      </c>
      <c r="E23" s="73"/>
      <c r="F23" s="73">
        <v>30</v>
      </c>
      <c r="G23" s="73"/>
      <c r="H23" s="70">
        <f t="shared" si="1"/>
        <v>2970</v>
      </c>
      <c r="I23" s="169">
        <f t="shared" si="4"/>
        <v>3000</v>
      </c>
      <c r="J23" s="177">
        <f>504000*0+3/3*751000*0+6/6*(1495000*0+9/9*2195000+10/10*(290000+12/12*495000+40233/40233*11500*0)+861/861*30000)</f>
        <v>3010000</v>
      </c>
      <c r="K23" s="212"/>
      <c r="L23" s="168">
        <f t="shared" si="6"/>
        <v>3010000</v>
      </c>
      <c r="M23" s="9">
        <f>2830000-2154000+2006/2006*30000+25000</f>
        <v>731000</v>
      </c>
      <c r="N23" s="168">
        <f t="shared" si="8"/>
        <v>3741000</v>
      </c>
      <c r="O23" s="38" t="s">
        <v>142</v>
      </c>
      <c r="P23" s="56" t="s">
        <v>143</v>
      </c>
      <c r="Q23" s="75"/>
      <c r="R23" s="76"/>
      <c r="S23" s="76"/>
      <c r="T23" s="76"/>
      <c r="U23" s="74">
        <f aca="true" t="shared" si="9" ref="U23:U31">Q23+R23</f>
        <v>0</v>
      </c>
      <c r="V23" s="169">
        <f t="shared" si="5"/>
        <v>0</v>
      </c>
      <c r="W23" s="185"/>
    </row>
    <row r="24" spans="1:23" ht="12.75">
      <c r="A24" s="4"/>
      <c r="B24" s="217" t="s">
        <v>219</v>
      </c>
      <c r="C24" s="110" t="s">
        <v>144</v>
      </c>
      <c r="D24" s="72"/>
      <c r="E24" s="73"/>
      <c r="F24" s="73">
        <v>11.5</v>
      </c>
      <c r="G24" s="73"/>
      <c r="H24" s="70"/>
      <c r="I24" s="169">
        <f t="shared" si="4"/>
        <v>11.5</v>
      </c>
      <c r="J24" s="177">
        <f>40233/40233*99/99*11500+37804</f>
        <v>49304</v>
      </c>
      <c r="K24" s="212"/>
      <c r="L24" s="168"/>
      <c r="M24" s="9"/>
      <c r="N24" s="168"/>
      <c r="O24" s="38"/>
      <c r="P24" s="56"/>
      <c r="Q24" s="75"/>
      <c r="R24" s="76"/>
      <c r="S24" s="76"/>
      <c r="T24" s="76"/>
      <c r="U24" s="74"/>
      <c r="V24" s="169"/>
      <c r="W24" s="185"/>
    </row>
    <row r="25" spans="1:23" ht="12.75">
      <c r="A25" s="11"/>
      <c r="B25" s="2"/>
      <c r="C25" s="110" t="s">
        <v>145</v>
      </c>
      <c r="D25" s="72"/>
      <c r="E25" s="73"/>
      <c r="F25" s="73">
        <v>58</v>
      </c>
      <c r="G25" s="73"/>
      <c r="H25" s="70"/>
      <c r="I25" s="169">
        <f t="shared" si="4"/>
        <v>58</v>
      </c>
      <c r="J25" s="177">
        <f>9/9*(394906.9-90/90*336912)</f>
        <v>57994.90000000002</v>
      </c>
      <c r="K25" s="212"/>
      <c r="L25" s="168"/>
      <c r="M25" s="9"/>
      <c r="N25" s="168"/>
      <c r="O25" s="38"/>
      <c r="P25" s="56"/>
      <c r="Q25" s="75"/>
      <c r="R25" s="76"/>
      <c r="S25" s="76"/>
      <c r="T25" s="76"/>
      <c r="U25" s="74"/>
      <c r="V25" s="169"/>
      <c r="W25" s="185"/>
    </row>
    <row r="26" spans="1:23" ht="12.75" customHeight="1">
      <c r="A26" s="11"/>
      <c r="B26" s="2"/>
      <c r="C26" s="113" t="s">
        <v>146</v>
      </c>
      <c r="D26" s="72"/>
      <c r="E26" s="73"/>
      <c r="F26" s="73">
        <f>66+71+58*0</f>
        <v>137</v>
      </c>
      <c r="G26" s="73"/>
      <c r="H26" s="70">
        <f t="shared" si="1"/>
        <v>0</v>
      </c>
      <c r="I26" s="169">
        <f t="shared" si="4"/>
        <v>137</v>
      </c>
      <c r="J26" s="177">
        <f>609414.99*0+3/3*(1002747.28*0+4/4*1233782.75*0+5/5*(1126978.33*0-81/81*35000)+6/6*(2029606.41*0+7/7*2132043.45*0+8/8*2348442.7*0+9/9*3034976.7*0+10/10*4136514.67*0+11/11*3719397.88-91/91*(83000+146400))+1112/1112*71400)-(504000*0+3/3*751000*0+6/6*1495000*0+9/9*2195000*0+10/10*2485000)-1041397.88+12/12*363379.79</f>
        <v>363379.78999999986</v>
      </c>
      <c r="K26" s="212"/>
      <c r="L26" s="168">
        <f t="shared" si="6"/>
        <v>363379.78999999986</v>
      </c>
      <c r="M26" s="9"/>
      <c r="N26" s="168">
        <f t="shared" si="8"/>
        <v>363379.78999999986</v>
      </c>
      <c r="O26" s="38" t="s">
        <v>138</v>
      </c>
      <c r="P26" s="218"/>
      <c r="Q26" s="75">
        <f>(320+178)*1.36-0.28</f>
        <v>677.0000000000001</v>
      </c>
      <c r="R26" s="76"/>
      <c r="S26" s="76"/>
      <c r="T26" s="76"/>
      <c r="U26" s="74">
        <f t="shared" si="9"/>
        <v>677.0000000000001</v>
      </c>
      <c r="V26" s="169">
        <f t="shared" si="5"/>
        <v>677.0000000000001</v>
      </c>
      <c r="W26" s="185">
        <f>(2/2*1726000*0+3/3*2589000*0+4/4*3452000*0+5/5*4315000*0+6/6*5178000*0+7/7*6041000*0+9/9*7767000*0+10/10*8630000*0+11/11*9493000*0+12/12*10358000)*677/(333+677+9348)+188.4534*0+3/3*-217.3199*0+4/4*376.9067*0+5/5*-28.8666*0+6/6*-434.6399*0+7/7*159.5868*0+9/9*348.0402*0+10/10*-57.7332*0+11/11*-463.5065*0</f>
        <v>677000</v>
      </c>
    </row>
    <row r="27" spans="1:23" ht="12.75">
      <c r="A27" s="9"/>
      <c r="B27" s="2">
        <v>3141</v>
      </c>
      <c r="C27" s="28" t="s">
        <v>10</v>
      </c>
      <c r="D27" s="72">
        <f>964*1.05-12.2</f>
        <v>1000</v>
      </c>
      <c r="E27" s="73"/>
      <c r="F27" s="73"/>
      <c r="G27" s="73"/>
      <c r="H27" s="70">
        <f t="shared" si="1"/>
        <v>1000</v>
      </c>
      <c r="I27" s="169">
        <f t="shared" si="4"/>
        <v>1000</v>
      </c>
      <c r="J27" s="177">
        <f>160000*0+3/3*240000*0+6/6*500000*0+9/9*750000*0+10/10*850000+12/12*170000</f>
        <v>1020000</v>
      </c>
      <c r="K27" s="212"/>
      <c r="L27" s="168">
        <f t="shared" si="6"/>
        <v>1020000</v>
      </c>
      <c r="M27" s="9">
        <f>584000-438000</f>
        <v>146000</v>
      </c>
      <c r="N27" s="168">
        <f t="shared" si="8"/>
        <v>1166000</v>
      </c>
      <c r="O27" s="38"/>
      <c r="P27" s="39"/>
      <c r="Q27" s="75"/>
      <c r="R27" s="76"/>
      <c r="S27" s="76"/>
      <c r="T27" s="76"/>
      <c r="U27" s="74">
        <f t="shared" si="9"/>
        <v>0</v>
      </c>
      <c r="V27" s="169">
        <f t="shared" si="5"/>
        <v>0</v>
      </c>
      <c r="W27" s="185"/>
    </row>
    <row r="28" spans="1:23" ht="12.75" customHeight="1">
      <c r="A28" s="9"/>
      <c r="B28" s="2"/>
      <c r="C28" s="113" t="s">
        <v>147</v>
      </c>
      <c r="D28" s="72"/>
      <c r="E28" s="73"/>
      <c r="F28" s="73">
        <v>270</v>
      </c>
      <c r="G28" s="73"/>
      <c r="H28" s="70">
        <f t="shared" si="1"/>
        <v>0</v>
      </c>
      <c r="I28" s="169">
        <f t="shared" si="4"/>
        <v>270</v>
      </c>
      <c r="J28" s="177">
        <f>2/2*139091.5*0+3/3*199952.58*0+4/4*220957.08*0+5/5*218727.64*0+6/6*704391.58*0+7/7*703281.19*0+8/8*715296.97*0+9/9*962562.59*0+10/10*1102453.58*0+11/11*1076474.7-(160000*0+3/3*240000*0+6/6*500000*0+9/9*750000*0+10/10*850000)+12/12*-3337.34</f>
        <v>223137.35999999996</v>
      </c>
      <c r="K28" s="212"/>
      <c r="L28" s="168">
        <f t="shared" si="6"/>
        <v>223137.35999999996</v>
      </c>
      <c r="M28" s="9"/>
      <c r="N28" s="168">
        <f t="shared" si="8"/>
        <v>223137.35999999996</v>
      </c>
      <c r="O28" s="41"/>
      <c r="P28" s="39"/>
      <c r="Q28" s="75"/>
      <c r="R28" s="76"/>
      <c r="S28" s="76"/>
      <c r="T28" s="76"/>
      <c r="U28" s="74">
        <f t="shared" si="9"/>
        <v>0</v>
      </c>
      <c r="V28" s="169">
        <f t="shared" si="5"/>
        <v>0</v>
      </c>
      <c r="W28" s="185"/>
    </row>
    <row r="29" spans="1:23" ht="12.75">
      <c r="A29" s="9"/>
      <c r="B29" s="2">
        <v>3121</v>
      </c>
      <c r="C29" s="28" t="s">
        <v>11</v>
      </c>
      <c r="D29" s="72"/>
      <c r="E29" s="73"/>
      <c r="F29" s="73">
        <v>13</v>
      </c>
      <c r="G29" s="73"/>
      <c r="H29" s="70">
        <f t="shared" si="1"/>
        <v>0</v>
      </c>
      <c r="I29" s="169">
        <f t="shared" si="4"/>
        <v>13</v>
      </c>
      <c r="J29" s="177">
        <f>2/2*-28651.8*0+3/3*-54878.67*0+4/4*6829.67*0+5/5*-40093.96*0+6/6*-45718.09*0+7/7*(-56400.26-0.02)*0+8/8*-39934.55*0+9/9*-43681.58*0+10/10*-27081.39*0+11/11*-25188.19+12/12*-31682.05-3231/3231*14025.5</f>
        <v>-70895.73999999999</v>
      </c>
      <c r="K29" s="212"/>
      <c r="L29" s="168">
        <f t="shared" si="6"/>
        <v>-70895.73999999999</v>
      </c>
      <c r="M29" s="9"/>
      <c r="N29" s="168">
        <f t="shared" si="8"/>
        <v>-70895.73999999999</v>
      </c>
      <c r="O29" s="41"/>
      <c r="P29" s="39"/>
      <c r="Q29" s="75"/>
      <c r="R29" s="76"/>
      <c r="S29" s="76"/>
      <c r="T29" s="76"/>
      <c r="U29" s="74">
        <f t="shared" si="9"/>
        <v>0</v>
      </c>
      <c r="V29" s="169">
        <f t="shared" si="5"/>
        <v>0</v>
      </c>
      <c r="W29" s="185"/>
    </row>
    <row r="30" spans="1:23" ht="12.75">
      <c r="A30" s="9"/>
      <c r="B30" s="2">
        <v>3231</v>
      </c>
      <c r="C30" s="28" t="s">
        <v>12</v>
      </c>
      <c r="D30" s="72"/>
      <c r="E30" s="73"/>
      <c r="F30" s="73"/>
      <c r="G30" s="73"/>
      <c r="H30" s="70">
        <f t="shared" si="1"/>
        <v>0</v>
      </c>
      <c r="I30" s="169">
        <f t="shared" si="4"/>
        <v>0</v>
      </c>
      <c r="J30" s="177">
        <f>12/12*14025.5</f>
        <v>14025.5</v>
      </c>
      <c r="K30" s="212"/>
      <c r="L30" s="168">
        <f t="shared" si="6"/>
        <v>14025.5</v>
      </c>
      <c r="M30" s="9"/>
      <c r="N30" s="168">
        <f t="shared" si="8"/>
        <v>14025.5</v>
      </c>
      <c r="O30" s="41"/>
      <c r="P30" s="39"/>
      <c r="Q30" s="75"/>
      <c r="R30" s="76"/>
      <c r="S30" s="76"/>
      <c r="T30" s="76"/>
      <c r="U30" s="74">
        <f t="shared" si="9"/>
        <v>0</v>
      </c>
      <c r="V30" s="169">
        <f t="shared" si="5"/>
        <v>0</v>
      </c>
      <c r="W30" s="185"/>
    </row>
    <row r="31" spans="1:23" s="104" customFormat="1" ht="12.75">
      <c r="A31" s="264" t="s">
        <v>121</v>
      </c>
      <c r="B31" s="265"/>
      <c r="C31" s="14">
        <f>J31+J125+J130+J128+J146+J129+J147-2/2*959854.69*0-3/3*1579221.19*0-4/4*2017037*0-5/5*1861079.51*0-6/6*3684747.4*0-7/7*4050391.86*0-8/8*4690179.52*0-9/9*6653818.11*0-10/10*8625907.76*0-11/11*9575323.79*0-12/12*10021442.31</f>
        <v>0</v>
      </c>
      <c r="D31" s="77">
        <f>SUM(D19:D30)</f>
        <v>5420</v>
      </c>
      <c r="E31" s="78">
        <f>SUM(E19:E30)</f>
        <v>611.5</v>
      </c>
      <c r="F31" s="78">
        <f>SUM(F19:F30)</f>
        <v>546</v>
      </c>
      <c r="G31" s="78"/>
      <c r="H31" s="79">
        <f t="shared" si="1"/>
        <v>6031.5</v>
      </c>
      <c r="I31" s="78">
        <f aca="true" t="shared" si="10" ref="I31:N31">SUM(I19:I30)</f>
        <v>6577.5</v>
      </c>
      <c r="J31" s="180">
        <f t="shared" si="10"/>
        <v>6769312.8100000005</v>
      </c>
      <c r="K31" s="167">
        <f t="shared" si="10"/>
        <v>0</v>
      </c>
      <c r="L31" s="168">
        <f t="shared" si="10"/>
        <v>6010990.91</v>
      </c>
      <c r="M31" s="167">
        <f t="shared" si="10"/>
        <v>1249500</v>
      </c>
      <c r="N31" s="168">
        <f t="shared" si="10"/>
        <v>7260490.91</v>
      </c>
      <c r="O31" s="38">
        <f>(V31+(V125+V146+V130+V147))-4/4*(2/2*1010+3/3*35+5/5*(1500+83)+10/10*146.4+11/11*1000)</f>
        <v>0</v>
      </c>
      <c r="P31" s="114">
        <f>(W31-(W20+W26)+(W125+W146+W130+W147))-4/4*((3/3*35000+(55000*0+83000*0*6/6+113000*0+169000*0*6/6)+5/5*83000+6/6*1500000+10/10*146400+11/11*1000000))</f>
        <v>0</v>
      </c>
      <c r="Q31" s="77">
        <f>SUM(Q19:Q30)</f>
        <v>1010.0000000000002</v>
      </c>
      <c r="R31" s="78">
        <f>SUM(R19:R30)</f>
        <v>0</v>
      </c>
      <c r="S31" s="78"/>
      <c r="T31" s="78">
        <f>SUM(T19:T30)</f>
        <v>0</v>
      </c>
      <c r="U31" s="79">
        <f t="shared" si="9"/>
        <v>1010.0000000000002</v>
      </c>
      <c r="V31" s="78">
        <f>SUM(V19:V30)</f>
        <v>1010.0000000000002</v>
      </c>
      <c r="W31" s="186">
        <f>SUM(W19:W30)</f>
        <v>1010000</v>
      </c>
    </row>
    <row r="32" spans="1:23" ht="12.75" hidden="1">
      <c r="A32" s="4" t="s">
        <v>13</v>
      </c>
      <c r="B32" s="6">
        <v>3513</v>
      </c>
      <c r="C32" s="28" t="s">
        <v>220</v>
      </c>
      <c r="D32" s="72"/>
      <c r="E32" s="73"/>
      <c r="F32" s="73"/>
      <c r="G32" s="73"/>
      <c r="H32" s="70">
        <f t="shared" si="1"/>
        <v>0</v>
      </c>
      <c r="I32" s="169">
        <f aca="true" t="shared" si="11" ref="I32:I94">H32+F32</f>
        <v>0</v>
      </c>
      <c r="J32" s="177"/>
      <c r="K32" s="212"/>
      <c r="L32" s="215"/>
      <c r="M32" s="219"/>
      <c r="N32" s="219"/>
      <c r="O32" s="38"/>
      <c r="P32" s="39"/>
      <c r="Q32" s="75"/>
      <c r="R32" s="76"/>
      <c r="S32" s="76"/>
      <c r="T32" s="73"/>
      <c r="U32" s="74">
        <f>Q32+R32</f>
        <v>0</v>
      </c>
      <c r="V32" s="169">
        <f>U32+T32</f>
        <v>0</v>
      </c>
      <c r="W32" s="185"/>
    </row>
    <row r="33" spans="1:23" ht="12.75" hidden="1">
      <c r="A33" s="4" t="s">
        <v>13</v>
      </c>
      <c r="B33" s="6">
        <v>3541</v>
      </c>
      <c r="C33" s="28" t="s">
        <v>14</v>
      </c>
      <c r="D33" s="72"/>
      <c r="E33" s="73"/>
      <c r="F33" s="73"/>
      <c r="G33" s="73"/>
      <c r="H33" s="70">
        <f t="shared" si="1"/>
        <v>0</v>
      </c>
      <c r="I33" s="169">
        <f t="shared" si="11"/>
        <v>0</v>
      </c>
      <c r="J33" s="177"/>
      <c r="K33" s="220"/>
      <c r="L33" s="168">
        <f aca="true" t="shared" si="12" ref="L33:L44">J33+K33</f>
        <v>0</v>
      </c>
      <c r="M33" s="9"/>
      <c r="N33" s="168">
        <f aca="true" t="shared" si="13" ref="N33:N44">L33+M33</f>
        <v>0</v>
      </c>
      <c r="O33" s="40"/>
      <c r="P33" s="42" t="s">
        <v>81</v>
      </c>
      <c r="Q33" s="75"/>
      <c r="R33" s="76"/>
      <c r="S33" s="76"/>
      <c r="T33" s="73"/>
      <c r="U33" s="74">
        <f aca="true" t="shared" si="14" ref="U33:U44">Q33+R33</f>
        <v>0</v>
      </c>
      <c r="V33" s="169">
        <f aca="true" t="shared" si="15" ref="V33:V44">U33+T33</f>
        <v>0</v>
      </c>
      <c r="W33" s="185"/>
    </row>
    <row r="34" spans="1:23" ht="12.75">
      <c r="A34" s="4"/>
      <c r="B34" s="7" t="s">
        <v>15</v>
      </c>
      <c r="C34" s="28" t="s">
        <v>16</v>
      </c>
      <c r="D34" s="72"/>
      <c r="E34" s="73"/>
      <c r="F34" s="73"/>
      <c r="G34" s="73"/>
      <c r="H34" s="70">
        <f t="shared" si="1"/>
        <v>0</v>
      </c>
      <c r="I34" s="169">
        <f t="shared" si="11"/>
        <v>0</v>
      </c>
      <c r="J34" s="177"/>
      <c r="K34" s="212"/>
      <c r="L34" s="168">
        <f t="shared" si="12"/>
        <v>0</v>
      </c>
      <c r="M34" s="9"/>
      <c r="N34" s="168">
        <f t="shared" si="13"/>
        <v>0</v>
      </c>
      <c r="O34" s="40" t="s">
        <v>82</v>
      </c>
      <c r="P34" s="42" t="s">
        <v>83</v>
      </c>
      <c r="Q34" s="75"/>
      <c r="R34" s="76"/>
      <c r="S34" s="76"/>
      <c r="T34" s="73"/>
      <c r="U34" s="74">
        <f t="shared" si="14"/>
        <v>0</v>
      </c>
      <c r="V34" s="169">
        <f t="shared" si="15"/>
        <v>0</v>
      </c>
      <c r="W34" s="185">
        <f>2/2*(500+1000+2503-4003)+3/3*(1500+1000+2481)*0+4/4*(79/79*1500+81/81*1000)+5/5*85/85*2389+6/6*(-4889+1600)+7/7*-1600+9/9*8746+10/10*-8446+11/11*(-300+4185/4185*1591)+12/12*-89</f>
        <v>1502</v>
      </c>
    </row>
    <row r="35" spans="1:23" ht="12.75" hidden="1">
      <c r="A35" s="4"/>
      <c r="B35" s="7" t="s">
        <v>15</v>
      </c>
      <c r="C35" s="28" t="s">
        <v>17</v>
      </c>
      <c r="D35" s="72"/>
      <c r="E35" s="73"/>
      <c r="F35" s="73"/>
      <c r="G35" s="73"/>
      <c r="H35" s="70">
        <f t="shared" si="1"/>
        <v>0</v>
      </c>
      <c r="I35" s="169">
        <f t="shared" si="11"/>
        <v>0</v>
      </c>
      <c r="J35" s="177"/>
      <c r="K35" s="212"/>
      <c r="L35" s="168">
        <f t="shared" si="12"/>
        <v>0</v>
      </c>
      <c r="M35" s="9"/>
      <c r="N35" s="168">
        <f t="shared" si="13"/>
        <v>0</v>
      </c>
      <c r="O35" s="40" t="s">
        <v>82</v>
      </c>
      <c r="P35" s="42" t="s">
        <v>84</v>
      </c>
      <c r="Q35" s="75"/>
      <c r="R35" s="76"/>
      <c r="S35" s="76"/>
      <c r="T35" s="73"/>
      <c r="U35" s="74">
        <f t="shared" si="14"/>
        <v>0</v>
      </c>
      <c r="V35" s="169">
        <f t="shared" si="15"/>
        <v>0</v>
      </c>
      <c r="W35" s="185"/>
    </row>
    <row r="36" spans="1:23" ht="12.75">
      <c r="A36" s="9"/>
      <c r="B36" s="8" t="s">
        <v>18</v>
      </c>
      <c r="C36" s="28" t="s">
        <v>19</v>
      </c>
      <c r="D36" s="72">
        <v>80</v>
      </c>
      <c r="E36" s="73"/>
      <c r="F36" s="73">
        <f>6+30+7+11+31-30</f>
        <v>55</v>
      </c>
      <c r="G36" s="73"/>
      <c r="H36" s="70">
        <f t="shared" si="1"/>
        <v>80</v>
      </c>
      <c r="I36" s="169">
        <f t="shared" si="11"/>
        <v>135</v>
      </c>
      <c r="J36" s="177">
        <f>2/2*17632.94*0+3/3*17803.91*0+4/4*24740.51*0+5/5*25420.47*0+6/6*97667.47*0+7/7*100150.47+8/8*816+9/9*789+10/10*2573.13+11/11*899.6-105228.2+12/12*(132504.9-19738.7+855)</f>
        <v>113621.20000000001</v>
      </c>
      <c r="K36" s="212"/>
      <c r="L36" s="168">
        <f t="shared" si="12"/>
        <v>113621.20000000001</v>
      </c>
      <c r="M36" s="9"/>
      <c r="N36" s="168">
        <f t="shared" si="13"/>
        <v>113621.20000000001</v>
      </c>
      <c r="O36" s="38"/>
      <c r="P36" s="42" t="s">
        <v>85</v>
      </c>
      <c r="Q36" s="75"/>
      <c r="R36" s="76"/>
      <c r="S36" s="76"/>
      <c r="T36" s="73"/>
      <c r="U36" s="74">
        <f t="shared" si="14"/>
        <v>0</v>
      </c>
      <c r="V36" s="169">
        <f t="shared" si="15"/>
        <v>0</v>
      </c>
      <c r="W36" s="185"/>
    </row>
    <row r="37" spans="1:23" ht="12.75">
      <c r="A37" s="9"/>
      <c r="B37" s="8" t="s">
        <v>20</v>
      </c>
      <c r="C37" s="28" t="s">
        <v>21</v>
      </c>
      <c r="D37" s="72">
        <v>175</v>
      </c>
      <c r="E37" s="73"/>
      <c r="F37" s="73">
        <f>2+39+21+20-167</f>
        <v>-85</v>
      </c>
      <c r="G37" s="73"/>
      <c r="H37" s="70">
        <f t="shared" si="1"/>
        <v>175</v>
      </c>
      <c r="I37" s="169">
        <f t="shared" si="11"/>
        <v>90</v>
      </c>
      <c r="J37" s="177">
        <f>2/2*3884.87*0+3/3*8377.57*0+4/4*20986.77*0+5/5*22244.99*0+6/6*69910.59*0+7/7*79067.59+8/8*1426+9/9*1190+10/10*6192+11/11*3209.5-91085.09+12/12*(98122.9-4062.81+1395)</f>
        <v>95455.09</v>
      </c>
      <c r="K37" s="212"/>
      <c r="L37" s="168">
        <f t="shared" si="12"/>
        <v>95455.09</v>
      </c>
      <c r="M37" s="9"/>
      <c r="N37" s="168">
        <f t="shared" si="13"/>
        <v>95455.09</v>
      </c>
      <c r="O37" s="40"/>
      <c r="P37" s="42" t="s">
        <v>86</v>
      </c>
      <c r="Q37" s="75"/>
      <c r="R37" s="76"/>
      <c r="S37" s="76"/>
      <c r="T37" s="73"/>
      <c r="U37" s="74">
        <f t="shared" si="14"/>
        <v>0</v>
      </c>
      <c r="V37" s="169">
        <f t="shared" si="15"/>
        <v>0</v>
      </c>
      <c r="W37" s="185"/>
    </row>
    <row r="38" spans="1:23" ht="12.75">
      <c r="A38" s="9"/>
      <c r="B38" s="8" t="s">
        <v>22</v>
      </c>
      <c r="C38" s="28" t="s">
        <v>23</v>
      </c>
      <c r="D38" s="72">
        <v>1618</v>
      </c>
      <c r="E38" s="73"/>
      <c r="F38" s="73">
        <f>-424-119-41-505-15-10+21+77-61-13-4+1</f>
        <v>-1093</v>
      </c>
      <c r="G38" s="73"/>
      <c r="H38" s="70">
        <f t="shared" si="1"/>
        <v>1618</v>
      </c>
      <c r="I38" s="169">
        <f t="shared" si="11"/>
        <v>525</v>
      </c>
      <c r="J38" s="177">
        <f>2/2*195260.79*0+3/3*328850.59*0+4/4*456483.87*0+5/5*447121.32+6/6*98432.7+12/12*-20250</f>
        <v>525304.02</v>
      </c>
      <c r="K38" s="212">
        <f>-(54066*0+68695)*(1+0.26+0.09)-460.3-160.45</f>
        <v>-93359</v>
      </c>
      <c r="L38" s="168">
        <f t="shared" si="12"/>
        <v>431945.02</v>
      </c>
      <c r="M38" s="9">
        <f>43700*(1+0.26+0.09+0.03)*3</f>
        <v>180918.00000000003</v>
      </c>
      <c r="N38" s="168">
        <f t="shared" si="13"/>
        <v>612863.02</v>
      </c>
      <c r="O38" s="40"/>
      <c r="P38" s="42" t="s">
        <v>87</v>
      </c>
      <c r="Q38" s="75">
        <v>1134</v>
      </c>
      <c r="R38" s="76"/>
      <c r="S38" s="76"/>
      <c r="T38" s="73">
        <v>-782</v>
      </c>
      <c r="U38" s="74">
        <f t="shared" si="14"/>
        <v>1134</v>
      </c>
      <c r="V38" s="169">
        <f t="shared" si="15"/>
        <v>352</v>
      </c>
      <c r="W38" s="185">
        <f>2/2*237330*0+3/3*332530*0+4/4*351644</f>
        <v>351644</v>
      </c>
    </row>
    <row r="39" spans="1:23" ht="12.75">
      <c r="A39" s="221"/>
      <c r="B39" s="8" t="s">
        <v>148</v>
      </c>
      <c r="C39" s="28" t="s">
        <v>149</v>
      </c>
      <c r="D39" s="72"/>
      <c r="E39" s="73"/>
      <c r="F39" s="73">
        <v>260</v>
      </c>
      <c r="G39" s="73"/>
      <c r="H39" s="70"/>
      <c r="I39" s="169">
        <f t="shared" si="11"/>
        <v>260</v>
      </c>
      <c r="J39" s="177">
        <f>5/5*(33432*0+5364+12*(2786*0+(1220+1119)))+6/6*(30000*0+4476+12*(1073+1054))+7/7*(31476*0+12*(1115+1508))+8/8*(29584*0+12*(1157+1475))+9/9*(28116+12*(0+0)+10/10*(28296)+11/11*29088+12/12*(11/11*12/12*48108*0+12*4009))</f>
        <v>260100</v>
      </c>
      <c r="K39" s="212"/>
      <c r="L39" s="168"/>
      <c r="M39" s="9"/>
      <c r="N39" s="168"/>
      <c r="O39" s="40"/>
      <c r="P39" s="42"/>
      <c r="Q39" s="75"/>
      <c r="R39" s="76"/>
      <c r="S39" s="76"/>
      <c r="T39" s="73"/>
      <c r="U39" s="74"/>
      <c r="V39" s="169"/>
      <c r="W39" s="185"/>
    </row>
    <row r="40" spans="1:23" ht="12.75">
      <c r="A40" s="9"/>
      <c r="B40" s="8" t="s">
        <v>24</v>
      </c>
      <c r="C40" s="28" t="s">
        <v>25</v>
      </c>
      <c r="D40" s="72">
        <v>2078</v>
      </c>
      <c r="E40" s="73"/>
      <c r="F40" s="73">
        <f>-81+10-13+7+5+27+5+6+1-18-5+2+10+9+1</f>
        <v>-34</v>
      </c>
      <c r="G40" s="73"/>
      <c r="H40" s="70">
        <f t="shared" si="1"/>
        <v>2078</v>
      </c>
      <c r="I40" s="169">
        <f t="shared" si="11"/>
        <v>2044</v>
      </c>
      <c r="J40" s="177">
        <f>2/2*177786.8*0+3/3*334229.3*0+4/4*625570.3*0+5/5*758086.3*0+6/6*972425*0+7/7*1191005*0+8/8*1354607*0+9/9*1526736*0+10/10*1754135.05*0+11/11*1922974.65*0+12/12*2097719.7+5801/5801*(-12853*0+3/3*-26138*0+4/4*-34911*0+5/5*-49139*0+6/6*-51120*0+7/7*-53532*0+8/8*-58946*0+10/10*-60050*0+11/11*-60317*0+12/12*-65848)+43512/43512*(3780*0+3/3*7560*0+4/4*11340*0+5/5*15120*0+6/6*18900*0+7/7*22680*0+8/8*28321.5*0+9/9*33245*0+10/10*38844.25*0+11/11*41333.36*0+12/12*5162/5162*4062.81)</f>
        <v>2035934.5100000002</v>
      </c>
      <c r="K40" s="212">
        <f>-25200/9*12*(1+0.26+0.09)</f>
        <v>-45360</v>
      </c>
      <c r="L40" s="168">
        <f t="shared" si="12"/>
        <v>1990574.5100000002</v>
      </c>
      <c r="M40" s="9">
        <f>105000*(1+0.26+0.09+0.03)*3</f>
        <v>434700</v>
      </c>
      <c r="N40" s="168">
        <f t="shared" si="13"/>
        <v>2425274.5100000002</v>
      </c>
      <c r="O40" s="40"/>
      <c r="P40" s="42" t="s">
        <v>88</v>
      </c>
      <c r="Q40" s="75">
        <f>2007/2007*289*0+400</f>
        <v>400</v>
      </c>
      <c r="R40" s="76"/>
      <c r="S40" s="76"/>
      <c r="T40" s="73">
        <v>80</v>
      </c>
      <c r="U40" s="74">
        <f t="shared" si="14"/>
        <v>400</v>
      </c>
      <c r="V40" s="169">
        <f t="shared" si="15"/>
        <v>480</v>
      </c>
      <c r="W40" s="185">
        <f>2/2*71287*0+3/3*108557.5*0+4/4*145403.5*0+5/5*187960.5*0+6/6*236085+7/7*38345.5+9/9*(8/8*0+79306.5)+10/10*38195+11/11*48336+12/12*33767</f>
        <v>474035</v>
      </c>
    </row>
    <row r="41" spans="1:23" ht="12.75" customHeight="1">
      <c r="A41" s="9" t="s">
        <v>209</v>
      </c>
      <c r="B41" s="6">
        <v>4319</v>
      </c>
      <c r="C41" s="28" t="s">
        <v>26</v>
      </c>
      <c r="D41" s="72"/>
      <c r="E41" s="73"/>
      <c r="F41" s="73">
        <v>46</v>
      </c>
      <c r="G41" s="73"/>
      <c r="H41" s="70">
        <f t="shared" si="1"/>
        <v>0</v>
      </c>
      <c r="I41" s="169">
        <f t="shared" si="11"/>
        <v>46</v>
      </c>
      <c r="J41" s="177">
        <f>2/2*8728*0+3/3*14048*0+4/4*17794*0+5/5*21338*0+6/6*24588*0+7/7*28074*0+8/8*31674*0+9/9*35350*0+10/10*39012*0+11/11*42238*0+12/12*45604</f>
        <v>45604</v>
      </c>
      <c r="K41" s="212"/>
      <c r="L41" s="168">
        <f t="shared" si="12"/>
        <v>45604</v>
      </c>
      <c r="M41" s="9"/>
      <c r="N41" s="168">
        <f t="shared" si="13"/>
        <v>45604</v>
      </c>
      <c r="O41" s="40"/>
      <c r="P41" s="43" t="s">
        <v>31</v>
      </c>
      <c r="Q41" s="75"/>
      <c r="R41" s="76"/>
      <c r="S41" s="76"/>
      <c r="T41" s="73"/>
      <c r="U41" s="74">
        <f t="shared" si="14"/>
        <v>0</v>
      </c>
      <c r="V41" s="169">
        <f t="shared" si="15"/>
        <v>0</v>
      </c>
      <c r="W41" s="185"/>
    </row>
    <row r="42" spans="1:23" ht="12.75" customHeight="1">
      <c r="A42" s="4" t="s">
        <v>210</v>
      </c>
      <c r="B42" s="10" t="s">
        <v>27</v>
      </c>
      <c r="C42" s="115" t="s">
        <v>28</v>
      </c>
      <c r="D42" s="72"/>
      <c r="E42" s="73"/>
      <c r="F42" s="73">
        <v>2</v>
      </c>
      <c r="G42" s="73"/>
      <c r="H42" s="70">
        <f t="shared" si="1"/>
        <v>0</v>
      </c>
      <c r="I42" s="169">
        <f t="shared" si="11"/>
        <v>2</v>
      </c>
      <c r="J42" s="177">
        <f>2/2*666*0+4/4*2431*0+5/5*2722.9*0+6/6*2793.8*0+10/10*4593.8*0+12/12*6095.8</f>
        <v>6095.8</v>
      </c>
      <c r="K42" s="212"/>
      <c r="L42" s="168">
        <f t="shared" si="12"/>
        <v>6095.8</v>
      </c>
      <c r="M42" s="9"/>
      <c r="N42" s="168">
        <f t="shared" si="13"/>
        <v>6095.8</v>
      </c>
      <c r="O42" s="40"/>
      <c r="P42" s="39"/>
      <c r="Q42" s="75"/>
      <c r="R42" s="76"/>
      <c r="S42" s="76"/>
      <c r="T42" s="73"/>
      <c r="U42" s="74">
        <f t="shared" si="14"/>
        <v>0</v>
      </c>
      <c r="V42" s="169">
        <f t="shared" si="15"/>
        <v>0</v>
      </c>
      <c r="W42" s="185"/>
    </row>
    <row r="43" spans="1:23" ht="12.75">
      <c r="A43" s="4"/>
      <c r="B43" s="7">
        <v>4329</v>
      </c>
      <c r="C43" s="115" t="s">
        <v>150</v>
      </c>
      <c r="D43" s="72"/>
      <c r="E43" s="73"/>
      <c r="F43" s="73">
        <v>26</v>
      </c>
      <c r="G43" s="73"/>
      <c r="H43" s="70"/>
      <c r="I43" s="169">
        <f t="shared" si="11"/>
        <v>26</v>
      </c>
      <c r="J43" s="179">
        <f>7082008/7082008*(6/6*-11225*0+7/7*39200+8/8*3300)*0+9/9*25800</f>
        <v>25800</v>
      </c>
      <c r="K43" s="212"/>
      <c r="L43" s="168"/>
      <c r="M43" s="9"/>
      <c r="N43" s="168"/>
      <c r="O43" s="40"/>
      <c r="P43" s="39"/>
      <c r="Q43" s="75"/>
      <c r="R43" s="76"/>
      <c r="S43" s="76"/>
      <c r="T43" s="73"/>
      <c r="U43" s="74"/>
      <c r="V43" s="169"/>
      <c r="W43" s="185"/>
    </row>
    <row r="44" spans="1:23" ht="12.75" customHeight="1">
      <c r="A44" s="9" t="s">
        <v>211</v>
      </c>
      <c r="B44" s="8" t="s">
        <v>29</v>
      </c>
      <c r="C44" s="28" t="s">
        <v>30</v>
      </c>
      <c r="D44" s="72"/>
      <c r="E44" s="73"/>
      <c r="F44" s="73">
        <v>18</v>
      </c>
      <c r="G44" s="73"/>
      <c r="H44" s="70">
        <f t="shared" si="1"/>
        <v>0</v>
      </c>
      <c r="I44" s="169">
        <f t="shared" si="11"/>
        <v>18</v>
      </c>
      <c r="J44" s="177">
        <f>2/2*17850*0+3/3*18946*0+5/5*17919</f>
        <v>17919</v>
      </c>
      <c r="K44" s="212"/>
      <c r="L44" s="168">
        <f t="shared" si="12"/>
        <v>17919</v>
      </c>
      <c r="M44" s="9">
        <f>14500*(1+0.26+0.09+0.03)*3</f>
        <v>60030</v>
      </c>
      <c r="N44" s="168">
        <f t="shared" si="13"/>
        <v>77949</v>
      </c>
      <c r="O44" s="38"/>
      <c r="P44" s="42" t="s">
        <v>89</v>
      </c>
      <c r="Q44" s="75"/>
      <c r="R44" s="76"/>
      <c r="S44" s="76"/>
      <c r="T44" s="73"/>
      <c r="U44" s="74">
        <f t="shared" si="14"/>
        <v>0</v>
      </c>
      <c r="V44" s="169">
        <f t="shared" si="15"/>
        <v>0</v>
      </c>
      <c r="W44" s="185"/>
    </row>
    <row r="45" spans="1:23" ht="12.75" customHeight="1" hidden="1">
      <c r="A45" s="9"/>
      <c r="B45" s="8"/>
      <c r="C45" s="28"/>
      <c r="D45" s="72"/>
      <c r="E45" s="73"/>
      <c r="F45" s="73"/>
      <c r="G45" s="73"/>
      <c r="H45" s="70"/>
      <c r="I45" s="169"/>
      <c r="J45" s="177"/>
      <c r="K45" s="212"/>
      <c r="L45" s="168"/>
      <c r="M45" s="9"/>
      <c r="N45" s="168"/>
      <c r="O45" s="44"/>
      <c r="P45" s="42"/>
      <c r="Q45" s="75"/>
      <c r="R45" s="76"/>
      <c r="S45" s="76"/>
      <c r="T45" s="73"/>
      <c r="U45" s="74"/>
      <c r="V45" s="169"/>
      <c r="W45" s="185"/>
    </row>
    <row r="46" spans="1:23" ht="12.75" hidden="1">
      <c r="A46" s="9"/>
      <c r="B46" s="8"/>
      <c r="C46" s="28"/>
      <c r="D46" s="72"/>
      <c r="E46" s="73"/>
      <c r="F46" s="73"/>
      <c r="G46" s="73"/>
      <c r="H46" s="70"/>
      <c r="I46" s="169"/>
      <c r="J46" s="177"/>
      <c r="K46" s="212"/>
      <c r="L46" s="168"/>
      <c r="M46" s="9"/>
      <c r="N46" s="168"/>
      <c r="O46" s="44"/>
      <c r="P46" s="42"/>
      <c r="Q46" s="75"/>
      <c r="R46" s="76"/>
      <c r="S46" s="76"/>
      <c r="T46" s="73"/>
      <c r="U46" s="74"/>
      <c r="V46" s="169"/>
      <c r="W46" s="185"/>
    </row>
    <row r="47" spans="1:23" ht="12.75">
      <c r="A47" s="4" t="s">
        <v>212</v>
      </c>
      <c r="B47" s="6">
        <v>4379</v>
      </c>
      <c r="C47" s="28" t="s">
        <v>32</v>
      </c>
      <c r="D47" s="72"/>
      <c r="E47" s="73"/>
      <c r="F47" s="73">
        <f>21+84+16</f>
        <v>121</v>
      </c>
      <c r="G47" s="73"/>
      <c r="H47" s="70">
        <f>D47+E47</f>
        <v>0</v>
      </c>
      <c r="I47" s="169">
        <f>H47+F47</f>
        <v>121</v>
      </c>
      <c r="J47" s="177">
        <f>2/2*9394.6*0+4/4*(12394.6-5169/5169*8800)*0+5/5*31572.6*0+6/6*40672.6*0+7/7*60502.6*0+9/9*57073.5*0+10/10*87526.5*0+11/11*111996.5*0+12/12*113720.5</f>
        <v>113720.5</v>
      </c>
      <c r="K47" s="212"/>
      <c r="L47" s="168">
        <f>J47+K47</f>
        <v>113720.5</v>
      </c>
      <c r="M47" s="9"/>
      <c r="N47" s="168">
        <f>L47+M47</f>
        <v>113720.5</v>
      </c>
      <c r="O47" s="44"/>
      <c r="P47" s="42"/>
      <c r="Q47" s="75"/>
      <c r="R47" s="76"/>
      <c r="S47" s="76"/>
      <c r="T47" s="73"/>
      <c r="U47" s="74">
        <f>Q47+R47</f>
        <v>0</v>
      </c>
      <c r="V47" s="169">
        <f>U47+T47</f>
        <v>0</v>
      </c>
      <c r="W47" s="185"/>
    </row>
    <row r="48" spans="1:23" ht="12.75">
      <c r="A48" s="4"/>
      <c r="B48" s="6">
        <v>4379</v>
      </c>
      <c r="C48" s="28" t="s">
        <v>151</v>
      </c>
      <c r="D48" s="72"/>
      <c r="E48" s="73"/>
      <c r="F48" s="73">
        <f>7+5+19</f>
        <v>31</v>
      </c>
      <c r="G48" s="73"/>
      <c r="H48" s="70"/>
      <c r="I48" s="169">
        <f>H48+F48</f>
        <v>31</v>
      </c>
      <c r="J48" s="177">
        <f>31000</f>
        <v>31000</v>
      </c>
      <c r="K48" s="212"/>
      <c r="L48" s="168"/>
      <c r="M48" s="9"/>
      <c r="N48" s="168"/>
      <c r="O48" s="44"/>
      <c r="P48" s="42"/>
      <c r="Q48" s="75"/>
      <c r="R48" s="76"/>
      <c r="S48" s="76"/>
      <c r="T48" s="73"/>
      <c r="U48" s="74"/>
      <c r="V48" s="169"/>
      <c r="W48" s="185"/>
    </row>
    <row r="49" spans="1:23" s="104" customFormat="1" ht="12.75">
      <c r="A49" s="264" t="s">
        <v>122</v>
      </c>
      <c r="B49" s="265"/>
      <c r="C49" s="14">
        <f>(J49+J122+J123+J124)-2/2*4442358*0-3/3*7337905.97*0-4/4*(9794812.55-5512/5512*2.5)*0-5/5*12089967.58*0-6/6*14308999.48*0-7/7*16619534.48*0-8/8*19283303.98*0-9/9*(21423529.88*0+10/10*23629667.31*0+11/11*25365424.12*0+12/12*((27608434.62*0+27609424.62)-19392008/19392008*(20965.5+12/12*179034)))</f>
        <v>0</v>
      </c>
      <c r="D49" s="77">
        <f>SUM(D32:D48)</f>
        <v>3951</v>
      </c>
      <c r="E49" s="78">
        <f>SUM(E32:E48)</f>
        <v>0</v>
      </c>
      <c r="F49" s="78">
        <f>SUM(F32:F48)</f>
        <v>-653</v>
      </c>
      <c r="G49" s="78"/>
      <c r="H49" s="79">
        <f t="shared" si="1"/>
        <v>3951</v>
      </c>
      <c r="I49" s="78">
        <f aca="true" t="shared" si="16" ref="I49:N49">SUM(I32:I48)</f>
        <v>3298</v>
      </c>
      <c r="J49" s="180">
        <f t="shared" si="16"/>
        <v>3270554.12</v>
      </c>
      <c r="K49" s="167">
        <f t="shared" si="16"/>
        <v>-138719</v>
      </c>
      <c r="L49" s="168">
        <f t="shared" si="16"/>
        <v>2814935.12</v>
      </c>
      <c r="M49" s="167">
        <f t="shared" si="16"/>
        <v>675648</v>
      </c>
      <c r="N49" s="168">
        <f t="shared" si="16"/>
        <v>3490583.12</v>
      </c>
      <c r="O49" s="38">
        <f>(V49+V122+V123+V124)-(2/2*(1534+3/3*19387+6/6*2500+9/9*(8/8*163+8529)+11/11*-1000+12/12*(-2459+16/16*-702)))</f>
        <v>0</v>
      </c>
      <c r="P49" s="114">
        <f>W49+W122+W123+W124-(2/2*12512620*0+3/3*12716068.5*0+4/4*12769547.5*0+5/5*13728493.5*0+6/6*16107329*0+7/7*18052074.5*0+9/9*22716127*0+10/10*25129876*0+11/11*25825503*0+12/12*26847181)</f>
        <v>0</v>
      </c>
      <c r="Q49" s="77">
        <f>SUM(Q32:Q48)</f>
        <v>1534</v>
      </c>
      <c r="R49" s="78">
        <f>SUM(R32:R48)</f>
        <v>0</v>
      </c>
      <c r="S49" s="78"/>
      <c r="T49" s="78">
        <f>SUM(T32:T48)</f>
        <v>-702</v>
      </c>
      <c r="U49" s="79">
        <f aca="true" t="shared" si="17" ref="U49:U87">Q49+R49</f>
        <v>1534</v>
      </c>
      <c r="V49" s="78">
        <f>SUM(V32:V48)</f>
        <v>832</v>
      </c>
      <c r="W49" s="186">
        <f>SUM(W32:W48)</f>
        <v>827181</v>
      </c>
    </row>
    <row r="50" spans="1:23" ht="12.75">
      <c r="A50" s="4" t="s">
        <v>33</v>
      </c>
      <c r="B50" s="2">
        <v>3313</v>
      </c>
      <c r="C50" s="28" t="s">
        <v>34</v>
      </c>
      <c r="D50" s="72">
        <v>494</v>
      </c>
      <c r="E50" s="73"/>
      <c r="F50" s="73">
        <f>-6+6+32+6+27</f>
        <v>65</v>
      </c>
      <c r="G50" s="73"/>
      <c r="H50" s="70">
        <f t="shared" si="1"/>
        <v>494</v>
      </c>
      <c r="I50" s="169">
        <f t="shared" si="11"/>
        <v>559</v>
      </c>
      <c r="J50" s="177">
        <f>2/2*(87147.96*0+3/3*158827.96*0+4/4*258857.96*0+5/5*308245.96*0+6/6*374243.96*0+7/7*446974.46*0+8/8*529342.46*0+9/9*589042.46*0+10/10*667068.46*0+11/11*739652.86*0+12/12*513790.71+1/1*(540*0+4/4*1128*0+7/7*1656*0+10/10*2222))</f>
        <v>516012.71</v>
      </c>
      <c r="K50" s="212">
        <f>-(205549*0+272471)*(1+0.26+0.09)-1847.54-652.61</f>
        <v>-370336</v>
      </c>
      <c r="L50" s="168">
        <f>J50+K50</f>
        <v>145676.71000000002</v>
      </c>
      <c r="M50" s="9">
        <f>34000*(1+0.26+0.09+0.03)*3</f>
        <v>140760.00000000003</v>
      </c>
      <c r="N50" s="168">
        <f>L50+M50</f>
        <v>286436.7100000001</v>
      </c>
      <c r="O50" s="40"/>
      <c r="P50" s="39"/>
      <c r="Q50" s="75"/>
      <c r="R50" s="76"/>
      <c r="S50" s="76"/>
      <c r="T50" s="73"/>
      <c r="U50" s="74">
        <f t="shared" si="17"/>
        <v>0</v>
      </c>
      <c r="V50" s="169">
        <f>U50+T50</f>
        <v>0</v>
      </c>
      <c r="W50" s="185">
        <f>2/2*104127*0+3/3*1889*0+4/4*54313*0+5/5*87846*0+6/6*2081*0+7/7*143*0+9/9*855*0+10/10*790*0+11/11*1489+12/12*-1489</f>
        <v>0</v>
      </c>
    </row>
    <row r="51" spans="1:23" ht="12.75">
      <c r="A51" s="4"/>
      <c r="B51" s="2">
        <v>3314</v>
      </c>
      <c r="C51" s="28" t="s">
        <v>35</v>
      </c>
      <c r="D51" s="72">
        <v>1810</v>
      </c>
      <c r="E51" s="73"/>
      <c r="F51" s="73">
        <f>-10+10+36+15+17+24+6+70+25</f>
        <v>193</v>
      </c>
      <c r="G51" s="73"/>
      <c r="H51" s="70">
        <f t="shared" si="1"/>
        <v>1810</v>
      </c>
      <c r="I51" s="169">
        <f t="shared" si="11"/>
        <v>2003</v>
      </c>
      <c r="J51" s="177">
        <f>2/2*(206420.39*0+3/3*356780.45*0+4/4*560209.2*0+5/5*677290.53*0+6/6*826486.69*0+7/7*982509.02*0+8/8*1162219.47*0+9/9*1315661.1*0+10/10*1505861.23*0+11/11*1658760.75*0+12/12*1908131-81/81*40550+1/1*(1042*0+4/4*2132*0+7/7*3173*0+10/10*4226))</f>
        <v>1871807</v>
      </c>
      <c r="K51" s="212"/>
      <c r="L51" s="168">
        <f aca="true" t="shared" si="18" ref="L51:L87">J51+K51</f>
        <v>1871807</v>
      </c>
      <c r="M51" s="9">
        <f>81000*(1+0.26+0.09+0.03)*3</f>
        <v>335340.00000000006</v>
      </c>
      <c r="N51" s="168">
        <f>L51+M51</f>
        <v>2207147</v>
      </c>
      <c r="O51" s="45">
        <f>1793.8-39.8+3-H51</f>
        <v>-53</v>
      </c>
      <c r="P51" s="39"/>
      <c r="Q51" s="75">
        <v>107</v>
      </c>
      <c r="R51" s="76"/>
      <c r="S51" s="76"/>
      <c r="T51" s="73">
        <v>13</v>
      </c>
      <c r="U51" s="74">
        <f t="shared" si="17"/>
        <v>107</v>
      </c>
      <c r="V51" s="169">
        <f>U51+T51</f>
        <v>120</v>
      </c>
      <c r="W51" s="187">
        <f>2/2*27388.5*0+4/4*34473*0+5/5*47489.5+7/7*5218+9/9*19419.5+10/10*20192+11/11*25694+12/12*15187</f>
        <v>133200</v>
      </c>
    </row>
    <row r="52" spans="1:23" ht="12.75" customHeight="1">
      <c r="A52" s="4"/>
      <c r="B52" s="12" t="s">
        <v>36</v>
      </c>
      <c r="C52" s="28" t="s">
        <v>152</v>
      </c>
      <c r="D52" s="72">
        <v>12</v>
      </c>
      <c r="E52" s="73"/>
      <c r="F52" s="73">
        <f>3+4+1+49+22</f>
        <v>79</v>
      </c>
      <c r="G52" s="73"/>
      <c r="H52" s="70">
        <f t="shared" si="1"/>
        <v>12</v>
      </c>
      <c r="I52" s="169">
        <f t="shared" si="11"/>
        <v>91</v>
      </c>
      <c r="J52" s="177">
        <f>715/715*(2/2*1000*0+3/3*2000*0+4/4*3000*0+5/5*4000*0+6/6*5000*0+7/7*6000*0+8/8*7000*0+9/9*8000*0+10/10*9000*0+11/11*10000*0+12/12*12000)+716/716*(1443*0+5/5*2276*0+8/8*15668*0+9/9*75633*0+10/10*78155.8*0+12/12*87494.8)</f>
        <v>99494.8</v>
      </c>
      <c r="K52" s="212"/>
      <c r="L52" s="168">
        <f t="shared" si="18"/>
        <v>99494.8</v>
      </c>
      <c r="M52" s="9">
        <f>1000*(1+0.26+0.09+0.03)*3</f>
        <v>4140.000000000001</v>
      </c>
      <c r="N52" s="168">
        <f>L52+M52</f>
        <v>103634.8</v>
      </c>
      <c r="O52" s="40"/>
      <c r="P52" s="39"/>
      <c r="Q52" s="75"/>
      <c r="R52" s="76"/>
      <c r="S52" s="76"/>
      <c r="T52" s="73"/>
      <c r="U52" s="74">
        <f t="shared" si="17"/>
        <v>0</v>
      </c>
      <c r="V52" s="169">
        <f>U52+T52</f>
        <v>0</v>
      </c>
      <c r="W52" s="185"/>
    </row>
    <row r="53" spans="1:23" ht="12.75" customHeight="1">
      <c r="A53" s="13"/>
      <c r="B53" s="2">
        <v>3319</v>
      </c>
      <c r="C53" s="28" t="s">
        <v>37</v>
      </c>
      <c r="D53" s="72">
        <v>528</v>
      </c>
      <c r="E53" s="73"/>
      <c r="F53" s="73">
        <f>10+6+2+32+5+12</f>
        <v>67</v>
      </c>
      <c r="G53" s="73"/>
      <c r="H53" s="70">
        <f t="shared" si="1"/>
        <v>528</v>
      </c>
      <c r="I53" s="169">
        <f t="shared" si="11"/>
        <v>595</v>
      </c>
      <c r="J53" s="177">
        <f>2/2*(84240.45*0+3/3*136684.45*0+4/4*215570.45*0+5/5*251282.14*0+6/6*(303428.54*0+7/7*375454.22*0+8/8*395117.22*0+9/9*421321.12*0+10/10*473512.45*0+11/11*521874.4*0+12/12*515329.45+5801/5801*(6/6*-307*0+7/7*-7982*0+10/10*-9527))+1/1*(351*0+4/4*738*0+7/7*1054*0+10/10*1225)+2412/2412*1049)</f>
        <v>508076.45</v>
      </c>
      <c r="K53" s="212">
        <f>-(108774*0+102063)*(1+0.26+0.09)-707.62-296.33</f>
        <v>-138789</v>
      </c>
      <c r="L53" s="168">
        <f t="shared" si="18"/>
        <v>369287.45</v>
      </c>
      <c r="M53" s="9">
        <f>29000*(1+0.26+0.09+0.03)*3</f>
        <v>120060</v>
      </c>
      <c r="N53" s="168">
        <f>L53+M53</f>
        <v>489347.45</v>
      </c>
      <c r="O53" s="40"/>
      <c r="P53" s="39"/>
      <c r="Q53" s="75">
        <v>155</v>
      </c>
      <c r="R53" s="76"/>
      <c r="S53" s="76"/>
      <c r="T53" s="73">
        <v>-2</v>
      </c>
      <c r="U53" s="74">
        <f t="shared" si="17"/>
        <v>155</v>
      </c>
      <c r="V53" s="169">
        <f>U53+T53</f>
        <v>153</v>
      </c>
      <c r="W53" s="187">
        <f>2/2*2500*0+4/4*2800+9/9*23450+10/10*65250+11/11*50050+12/12*12439</f>
        <v>153989</v>
      </c>
    </row>
    <row r="54" spans="1:23" ht="12.75">
      <c r="A54" s="13"/>
      <c r="B54" s="2"/>
      <c r="C54" s="28" t="s">
        <v>153</v>
      </c>
      <c r="D54" s="72"/>
      <c r="E54" s="73"/>
      <c r="F54" s="73">
        <f>14+2+3</f>
        <v>19</v>
      </c>
      <c r="G54" s="73"/>
      <c r="H54" s="70"/>
      <c r="I54" s="169">
        <f t="shared" si="11"/>
        <v>19</v>
      </c>
      <c r="J54" s="177">
        <f>9/9*9814*0+10/10*16439*0+12/12*19775</f>
        <v>19775</v>
      </c>
      <c r="K54" s="212"/>
      <c r="L54" s="168"/>
      <c r="M54" s="9"/>
      <c r="N54" s="168"/>
      <c r="O54" s="40"/>
      <c r="P54" s="39"/>
      <c r="Q54" s="75"/>
      <c r="R54" s="76"/>
      <c r="S54" s="76"/>
      <c r="T54" s="73"/>
      <c r="U54" s="74"/>
      <c r="V54" s="169"/>
      <c r="W54" s="187"/>
    </row>
    <row r="55" spans="1:23" ht="12.75">
      <c r="A55" s="13"/>
      <c r="B55" s="2">
        <v>4312</v>
      </c>
      <c r="C55" s="28" t="s">
        <v>154</v>
      </c>
      <c r="D55" s="72"/>
      <c r="E55" s="73"/>
      <c r="F55" s="73">
        <f>3+48+3472</f>
        <v>3523</v>
      </c>
      <c r="G55" s="73"/>
      <c r="H55" s="70"/>
      <c r="I55" s="169">
        <f t="shared" si="11"/>
        <v>3523</v>
      </c>
      <c r="J55" s="177">
        <f>3412/3412*(25271779.8-84/84*(17000000+4750000)-16/16*3521779.8)*0+16/16*(47600+3474179.8)</f>
        <v>3521779.8</v>
      </c>
      <c r="K55" s="212"/>
      <c r="L55" s="168"/>
      <c r="M55" s="9"/>
      <c r="N55" s="168"/>
      <c r="O55" s="40"/>
      <c r="P55" s="39"/>
      <c r="Q55" s="75"/>
      <c r="R55" s="76"/>
      <c r="S55" s="76"/>
      <c r="T55" s="73"/>
      <c r="U55" s="74"/>
      <c r="V55" s="169"/>
      <c r="W55" s="187"/>
    </row>
    <row r="56" spans="1:23" ht="12.75">
      <c r="A56" s="13" t="s">
        <v>205</v>
      </c>
      <c r="B56" s="2">
        <v>3412</v>
      </c>
      <c r="C56" s="28" t="s">
        <v>221</v>
      </c>
      <c r="D56" s="72"/>
      <c r="E56" s="73"/>
      <c r="F56" s="73">
        <f>14+6</f>
        <v>20</v>
      </c>
      <c r="G56" s="73"/>
      <c r="H56" s="70">
        <f t="shared" si="1"/>
        <v>0</v>
      </c>
      <c r="I56" s="169">
        <f t="shared" si="11"/>
        <v>20</v>
      </c>
      <c r="J56" s="177">
        <f>3/3*8233/8233*70805*0+4/4*11166*0+5/5*6100+6/6*1000+9/9*7586+11/11*5376</f>
        <v>20062</v>
      </c>
      <c r="K56" s="212"/>
      <c r="L56" s="168">
        <f t="shared" si="18"/>
        <v>20062</v>
      </c>
      <c r="M56" s="9"/>
      <c r="N56" s="168">
        <f>L56+M56</f>
        <v>20062</v>
      </c>
      <c r="O56" s="45">
        <f>45+112.6-H56</f>
        <v>157.6</v>
      </c>
      <c r="P56" s="39"/>
      <c r="Q56" s="75"/>
      <c r="R56" s="76"/>
      <c r="S56" s="76"/>
      <c r="T56" s="73"/>
      <c r="U56" s="74">
        <f t="shared" si="17"/>
        <v>0</v>
      </c>
      <c r="V56" s="169">
        <f>U56+T56</f>
        <v>0</v>
      </c>
      <c r="W56" s="185">
        <f>10/10*3412/3412*2210/2210*-2975.5</f>
        <v>-2975.5</v>
      </c>
    </row>
    <row r="57" spans="1:23" s="104" customFormat="1" ht="12.75">
      <c r="A57" s="264" t="s">
        <v>123</v>
      </c>
      <c r="B57" s="265"/>
      <c r="C57" s="14">
        <f>J57+J132+J134-2/2*380741.8*0-3/3*727030.86*0-4/4*1788818.81*0-5/5*1987766.83*0-6/6*2533505.39*0-7/7*12377593.7*0-8/8*17754940.35*0-9/9*18072650.88*0-(10/10*23144203.74+11/11*(5039952.87-28184156.61*0))*0-12/12*28347557.76</f>
        <v>0</v>
      </c>
      <c r="D57" s="77">
        <f>SUM(D50:D56)</f>
        <v>2844</v>
      </c>
      <c r="E57" s="78">
        <f>SUM(E50:E56)</f>
        <v>0</v>
      </c>
      <c r="F57" s="78">
        <f>SUM(F50:F56)</f>
        <v>3966</v>
      </c>
      <c r="G57" s="78"/>
      <c r="H57" s="79">
        <f>D57+E57</f>
        <v>2844</v>
      </c>
      <c r="I57" s="78">
        <f aca="true" t="shared" si="19" ref="I57:N57">SUM(I50:I56)</f>
        <v>6810</v>
      </c>
      <c r="J57" s="180">
        <f t="shared" si="19"/>
        <v>6557007.76</v>
      </c>
      <c r="K57" s="167">
        <f t="shared" si="19"/>
        <v>-509125</v>
      </c>
      <c r="L57" s="168">
        <f t="shared" si="19"/>
        <v>2506327.96</v>
      </c>
      <c r="M57" s="167">
        <f t="shared" si="19"/>
        <v>600300.0000000001</v>
      </c>
      <c r="N57" s="168">
        <f t="shared" si="19"/>
        <v>3106627.96</v>
      </c>
      <c r="O57" s="38">
        <f>V57+V132+V134-(6/6)*(2/2*(262+3/3*(40.6-0.1)+5/5*7000+10/10*(10000+4750))+12/12*16/16*11)</f>
        <v>0</v>
      </c>
      <c r="P57" s="114">
        <f>W57+W132+W134-(6/6)*(2/2*134015.5*0+3/3*72327.5*0+4/4*132136*0+5/5*178685.5*0+6/6*7092920.5*0+7/7*7096200.5*0+9/9*7139782*0+10/10*17222183.5*0+11/11*22048626.5*0+12/12*22074763.5)</f>
        <v>0</v>
      </c>
      <c r="Q57" s="77">
        <f>SUM(Q50:Q56)</f>
        <v>262</v>
      </c>
      <c r="R57" s="78">
        <f>SUM(R50:R56)</f>
        <v>0</v>
      </c>
      <c r="S57" s="78"/>
      <c r="T57" s="78">
        <f>SUM(T50:T56)</f>
        <v>11</v>
      </c>
      <c r="U57" s="79">
        <f t="shared" si="17"/>
        <v>262</v>
      </c>
      <c r="V57" s="78">
        <f>SUM(V50:V56)</f>
        <v>273</v>
      </c>
      <c r="W57" s="186">
        <f>SUM(W50:W56)</f>
        <v>284213.5</v>
      </c>
    </row>
    <row r="58" spans="1:23" ht="12.75">
      <c r="A58" s="4" t="s">
        <v>213</v>
      </c>
      <c r="B58" s="2">
        <v>5512</v>
      </c>
      <c r="C58" s="28" t="s">
        <v>38</v>
      </c>
      <c r="D58" s="72">
        <v>200</v>
      </c>
      <c r="E58" s="73"/>
      <c r="F58" s="73">
        <f>-6+6+20</f>
        <v>20</v>
      </c>
      <c r="G58" s="73"/>
      <c r="H58" s="70">
        <f t="shared" si="1"/>
        <v>200</v>
      </c>
      <c r="I58" s="169">
        <f t="shared" si="11"/>
        <v>220</v>
      </c>
      <c r="J58" s="177">
        <f>2/2*(161389.06*0+3/3*187327.06*0+4/4*202411.06*0+5/5*208644.84*0+6/6*235112.84*0+7/7*(238362.18*0+8/8*251176.18*0+9/9*265744.18*0+10/10*288658.84*0+11/11*295938.44*0+12/12*684482.79-81/81*(80033*0+9/9*83491*0+10/10*88442*0+11/11*89883*0+12/12*(220000+199972.3)))+1/1*(4487*0+7/7*9076*0+12/12*13501*0)+(5/5)*2.5*0*5/5)</f>
        <v>264510.49000000005</v>
      </c>
      <c r="K58" s="212"/>
      <c r="L58" s="168">
        <f>J58+K58</f>
        <v>264510.49000000005</v>
      </c>
      <c r="M58" s="9"/>
      <c r="N58" s="168">
        <f>L58+M58</f>
        <v>264510.49000000005</v>
      </c>
      <c r="O58" s="38"/>
      <c r="P58" s="39"/>
      <c r="Q58" s="75"/>
      <c r="R58" s="76"/>
      <c r="S58" s="76"/>
      <c r="T58" s="73"/>
      <c r="U58" s="74">
        <f t="shared" si="17"/>
        <v>0</v>
      </c>
      <c r="V58" s="169">
        <f>U58+T58</f>
        <v>0</v>
      </c>
      <c r="W58" s="185"/>
    </row>
    <row r="59" spans="1:23" ht="12.75" customHeight="1" hidden="1">
      <c r="A59" s="4"/>
      <c r="B59" s="2">
        <v>5512</v>
      </c>
      <c r="C59" s="28" t="s">
        <v>39</v>
      </c>
      <c r="D59" s="72"/>
      <c r="E59" s="73"/>
      <c r="F59" s="73"/>
      <c r="G59" s="73"/>
      <c r="H59" s="70">
        <f t="shared" si="1"/>
        <v>0</v>
      </c>
      <c r="I59" s="169">
        <f t="shared" si="11"/>
        <v>0</v>
      </c>
      <c r="J59" s="177"/>
      <c r="K59" s="212"/>
      <c r="L59" s="168">
        <f t="shared" si="18"/>
        <v>0</v>
      </c>
      <c r="M59" s="9"/>
      <c r="N59" s="168">
        <f>L59+M59</f>
        <v>0</v>
      </c>
      <c r="O59" s="46"/>
      <c r="P59" s="39"/>
      <c r="Q59" s="75"/>
      <c r="R59" s="76"/>
      <c r="S59" s="76"/>
      <c r="T59" s="73"/>
      <c r="U59" s="74">
        <f t="shared" si="17"/>
        <v>0</v>
      </c>
      <c r="V59" s="169">
        <f>U59+T59</f>
        <v>0</v>
      </c>
      <c r="W59" s="185"/>
    </row>
    <row r="60" spans="1:23" s="104" customFormat="1" ht="12.75">
      <c r="A60" s="264" t="s">
        <v>124</v>
      </c>
      <c r="B60" s="265"/>
      <c r="C60" s="14">
        <f>J60+J143+J144-(7/7)*(2/2*165876.06*0+3/3*191814.06*0+4/4*(206898.06+5/5*2.5)*0+5/5*213131.84*0+6/6*239599.84*0+7/7*247438.18*0+8/8*260252.18*0+9/9*274820.18*0+10/10*297734.84*0+11/11*305014.44*0+12/12*684482.79)</f>
        <v>0</v>
      </c>
      <c r="D60" s="77">
        <f>SUM(D58:D59)</f>
        <v>200</v>
      </c>
      <c r="E60" s="78">
        <f>SUM(E58:E59)</f>
        <v>0</v>
      </c>
      <c r="F60" s="78">
        <f>SUM(F58:F59)</f>
        <v>20</v>
      </c>
      <c r="G60" s="78"/>
      <c r="H60" s="79">
        <f>D60+E60</f>
        <v>200</v>
      </c>
      <c r="I60" s="78">
        <f aca="true" t="shared" si="20" ref="I60:N60">SUM(I58:I59)</f>
        <v>220</v>
      </c>
      <c r="J60" s="180">
        <f t="shared" si="20"/>
        <v>264510.49000000005</v>
      </c>
      <c r="K60" s="167">
        <f t="shared" si="20"/>
        <v>0</v>
      </c>
      <c r="L60" s="168">
        <f t="shared" si="20"/>
        <v>264510.49000000005</v>
      </c>
      <c r="M60" s="167">
        <f t="shared" si="20"/>
        <v>0</v>
      </c>
      <c r="N60" s="168">
        <f t="shared" si="20"/>
        <v>264510.49000000005</v>
      </c>
      <c r="O60" s="38">
        <f>V60+V143+V144-((7/7)*2/2*0+7/7*220+12/12*200)</f>
        <v>0</v>
      </c>
      <c r="P60" s="111">
        <f>W60+W143+W144-(7/7)*(2/2*0+7/7*220000+12/12*200000)</f>
        <v>0</v>
      </c>
      <c r="Q60" s="77">
        <f>SUM(Q58:Q59)</f>
        <v>0</v>
      </c>
      <c r="R60" s="78">
        <f>SUM(R58:R59)</f>
        <v>0</v>
      </c>
      <c r="S60" s="78"/>
      <c r="T60" s="78">
        <f>SUM(T58:T59)</f>
        <v>0</v>
      </c>
      <c r="U60" s="79">
        <f t="shared" si="17"/>
        <v>0</v>
      </c>
      <c r="V60" s="78">
        <f>SUM(V58:V59)</f>
        <v>0</v>
      </c>
      <c r="W60" s="186">
        <f>SUM(W58:W59)</f>
        <v>0</v>
      </c>
    </row>
    <row r="61" spans="1:23" ht="12.75">
      <c r="A61" s="4" t="s">
        <v>206</v>
      </c>
      <c r="B61" s="2">
        <v>3612</v>
      </c>
      <c r="C61" s="28" t="s">
        <v>40</v>
      </c>
      <c r="D61" s="72">
        <v>1000</v>
      </c>
      <c r="E61" s="73"/>
      <c r="F61" s="73">
        <v>-1000</v>
      </c>
      <c r="G61" s="73"/>
      <c r="H61" s="70">
        <f t="shared" si="1"/>
        <v>1000</v>
      </c>
      <c r="I61" s="169">
        <f t="shared" si="11"/>
        <v>0</v>
      </c>
      <c r="J61" s="177">
        <f>3612/3612*(2/2*53121*0+3/3*105098*0+4/4*180935+1/1*(489*0+4/4*1052)-181987*0-(241384-107/107*17250*0-39039-10151-(3514-1)-1/1*563*0-(4872+2088)))+5/5*-266+6/6*(-4321+1/1*267)+7/7*(4054+1/1*489)+8/8*((38925*0+38992)*0+9/9*((52503-13647)+489*0)+(13624*0+(10138+3509))-5163/5163*489*0)+36121/36121*8/8*80920*0+10/10*(8/8*-52503+(39216+10197+3531+489))+11/11*(-5011/5011*39216-5031/5031*10197-5032/5032*3531-1/1*5163/5163*978)</f>
        <v>0</v>
      </c>
      <c r="K61" s="212">
        <f>(123456/123456*107/107*7180*0+789/789*(-165574+3599*0)+(26555+27955*0))+(1/1*1547+1062/1062*468)*0+3600+135419</f>
        <v>0</v>
      </c>
      <c r="L61" s="168">
        <f t="shared" si="18"/>
        <v>0</v>
      </c>
      <c r="M61" s="212">
        <f>(123456/123456*107/107*7180*0+789/789*(-165574+3599*0)+(26555+27955*0))+(1/1*1547+1062/1062*468)*0+3600</f>
        <v>-135419</v>
      </c>
      <c r="N61" s="168">
        <f>L61+M61</f>
        <v>-135419</v>
      </c>
      <c r="O61" s="38">
        <f>1755/0.045*0.09-1</f>
        <v>3509</v>
      </c>
      <c r="P61" s="39"/>
      <c r="Q61" s="75"/>
      <c r="R61" s="76"/>
      <c r="S61" s="76"/>
      <c r="T61" s="76"/>
      <c r="U61" s="74">
        <f t="shared" si="17"/>
        <v>0</v>
      </c>
      <c r="V61" s="169">
        <f>U61+T61</f>
        <v>0</v>
      </c>
      <c r="W61" s="185"/>
    </row>
    <row r="62" spans="1:23" ht="12.75">
      <c r="A62" s="4"/>
      <c r="B62" s="2"/>
      <c r="C62" s="116" t="s">
        <v>155</v>
      </c>
      <c r="D62" s="72"/>
      <c r="E62" s="73"/>
      <c r="F62" s="73">
        <f>337+81</f>
        <v>418</v>
      </c>
      <c r="G62" s="73"/>
      <c r="H62" s="70"/>
      <c r="I62" s="169">
        <f t="shared" si="11"/>
        <v>418</v>
      </c>
      <c r="J62" s="177">
        <f>3612/3612*(36121/36121*8/8*80920+10/10*(551/551*337137))</f>
        <v>418057</v>
      </c>
      <c r="K62" s="212"/>
      <c r="L62" s="168"/>
      <c r="M62" s="222"/>
      <c r="N62" s="168"/>
      <c r="O62" s="38" t="s">
        <v>156</v>
      </c>
      <c r="P62" s="39"/>
      <c r="Q62" s="75"/>
      <c r="R62" s="76"/>
      <c r="S62" s="76"/>
      <c r="T62" s="76">
        <f>1000+551/551*357+1075/1075*250+1021/1021*150</f>
        <v>1757</v>
      </c>
      <c r="U62" s="74"/>
      <c r="V62" s="169">
        <f>U62+T62</f>
        <v>1757</v>
      </c>
      <c r="W62" s="185">
        <f>2122/2122*(10/10*(551/551*337137)+11/11*(420000)+12/12*1000000)</f>
        <v>1757137</v>
      </c>
    </row>
    <row r="63" spans="1:23" ht="12.75">
      <c r="A63" s="9" t="s">
        <v>207</v>
      </c>
      <c r="B63" s="2">
        <v>3639</v>
      </c>
      <c r="C63" s="28" t="s">
        <v>41</v>
      </c>
      <c r="D63" s="72">
        <v>6650</v>
      </c>
      <c r="E63" s="73"/>
      <c r="F63" s="73">
        <f>-2*500+443</f>
        <v>-557</v>
      </c>
      <c r="G63" s="73"/>
      <c r="H63" s="70">
        <f t="shared" si="1"/>
        <v>6650</v>
      </c>
      <c r="I63" s="169">
        <f t="shared" si="11"/>
        <v>6093</v>
      </c>
      <c r="J63" s="177">
        <f>2/2*500000*0+3/3*1000000*0+4/4*1500000*0+5/5*(2000000+2007/2007*443267.94)+6/6*500000+7/7*500000+8/8*500000+9/9*1000000+10/10*300000+12/12*850000</f>
        <v>6093267.9399999995</v>
      </c>
      <c r="K63" s="212"/>
      <c r="L63" s="168">
        <f t="shared" si="18"/>
        <v>6093267.9399999995</v>
      </c>
      <c r="M63" s="9">
        <f>6419500-5529000</f>
        <v>890500</v>
      </c>
      <c r="N63" s="168">
        <f>L63+M63</f>
        <v>6983767.9399999995</v>
      </c>
      <c r="O63" s="46">
        <f>3119/0.08*0.26+1.25</f>
        <v>10138</v>
      </c>
      <c r="P63" s="39"/>
      <c r="Q63" s="75"/>
      <c r="R63" s="76"/>
      <c r="S63" s="76"/>
      <c r="T63" s="76"/>
      <c r="U63" s="74">
        <f t="shared" si="17"/>
        <v>0</v>
      </c>
      <c r="V63" s="169">
        <f>U63+T63</f>
        <v>0</v>
      </c>
      <c r="W63" s="185"/>
    </row>
    <row r="64" spans="1:23" ht="12.75" customHeight="1">
      <c r="A64" s="9"/>
      <c r="B64" s="2"/>
      <c r="C64" s="116" t="s">
        <v>42</v>
      </c>
      <c r="D64" s="72"/>
      <c r="E64" s="73"/>
      <c r="F64" s="73"/>
      <c r="G64" s="73"/>
      <c r="H64" s="70">
        <f t="shared" si="1"/>
        <v>0</v>
      </c>
      <c r="I64" s="169">
        <f t="shared" si="11"/>
        <v>0</v>
      </c>
      <c r="J64" s="177">
        <f>2/2*(604801.19*0+3/3*1079638.36*0+4/4*1599385.27*0+(5/5*2513299.63+6/6*478762.5+538075+8/8*-1331.11+9/9*-9057.5)*0+10/10*(39200+7780*0*11/11+2244.28+27256.3))-((500000*(5+1+3)+300000)+2007/2007*-443267.94)*0</f>
        <v>68700.58</v>
      </c>
      <c r="K64" s="212"/>
      <c r="L64" s="168">
        <f t="shared" si="18"/>
        <v>68700.58</v>
      </c>
      <c r="M64" s="9"/>
      <c r="N64" s="168">
        <f>L64+M64</f>
        <v>68700.58</v>
      </c>
      <c r="O64" s="38">
        <f>O61+O63</f>
        <v>13647</v>
      </c>
      <c r="P64" s="39"/>
      <c r="Q64" s="75"/>
      <c r="R64" s="76"/>
      <c r="S64" s="76"/>
      <c r="T64" s="76"/>
      <c r="U64" s="74">
        <f t="shared" si="17"/>
        <v>0</v>
      </c>
      <c r="V64" s="169">
        <f>U64+T64</f>
        <v>0</v>
      </c>
      <c r="W64" s="185"/>
    </row>
    <row r="65" spans="1:23" ht="12.75" hidden="1">
      <c r="A65" s="11"/>
      <c r="B65" s="2">
        <v>3632</v>
      </c>
      <c r="C65" s="28" t="s">
        <v>43</v>
      </c>
      <c r="D65" s="72"/>
      <c r="E65" s="73"/>
      <c r="F65" s="73"/>
      <c r="G65" s="73"/>
      <c r="H65" s="70">
        <f t="shared" si="1"/>
        <v>0</v>
      </c>
      <c r="I65" s="169">
        <f t="shared" si="11"/>
        <v>0</v>
      </c>
      <c r="J65" s="177"/>
      <c r="K65" s="212"/>
      <c r="L65" s="168">
        <f t="shared" si="18"/>
        <v>0</v>
      </c>
      <c r="M65" s="9"/>
      <c r="N65" s="168">
        <f>L65+M65</f>
        <v>0</v>
      </c>
      <c r="O65" s="38"/>
      <c r="P65" s="39"/>
      <c r="Q65" s="75">
        <f>227*0</f>
        <v>0</v>
      </c>
      <c r="R65" s="76"/>
      <c r="S65" s="76"/>
      <c r="T65" s="76"/>
      <c r="U65" s="74">
        <f t="shared" si="17"/>
        <v>0</v>
      </c>
      <c r="V65" s="169">
        <f>U65+T65</f>
        <v>0</v>
      </c>
      <c r="W65" s="185"/>
    </row>
    <row r="66" spans="1:23" s="104" customFormat="1" ht="12.75">
      <c r="A66" s="264" t="s">
        <v>125</v>
      </c>
      <c r="B66" s="265"/>
      <c r="C66" s="14">
        <f>J66-(8/8)*(2/2*658411.19*0+3/3*1185225.36*0+4/4*1781372.27*0+5/5*2513565.63*0+6/6*2988008.13*0+7/7*3530626.13*0+8/8*4162854.02*0+9/9*5153660.52*0+10/10*5791727.52*0+11/11*5730025.52*0+12/12*6580025.52)</f>
        <v>0</v>
      </c>
      <c r="D66" s="77">
        <f>SUM(D61:D65)</f>
        <v>7650</v>
      </c>
      <c r="E66" s="78">
        <f>SUM(E61:E65)</f>
        <v>0</v>
      </c>
      <c r="F66" s="78">
        <f>SUM(F61:F65)</f>
        <v>-1139</v>
      </c>
      <c r="G66" s="78"/>
      <c r="H66" s="79">
        <f>D66+E66</f>
        <v>7650</v>
      </c>
      <c r="I66" s="78">
        <f aca="true" t="shared" si="21" ref="I66:N66">SUM(I61:I65)</f>
        <v>6511</v>
      </c>
      <c r="J66" s="180">
        <f t="shared" si="21"/>
        <v>6580025.52</v>
      </c>
      <c r="K66" s="167">
        <f t="shared" si="21"/>
        <v>0</v>
      </c>
      <c r="L66" s="168">
        <f t="shared" si="21"/>
        <v>6161968.52</v>
      </c>
      <c r="M66" s="167">
        <f t="shared" si="21"/>
        <v>755081</v>
      </c>
      <c r="N66" s="168">
        <f t="shared" si="21"/>
        <v>6917049.52</v>
      </c>
      <c r="O66" s="38">
        <f>V66-(8/8)*(2/2*0+12/12*16/16*1757)</f>
        <v>0</v>
      </c>
      <c r="P66" s="111">
        <f>W66-(8/8)*(2/2*0+10/10*337137+11/11*420000+12/12*1000000)</f>
        <v>0</v>
      </c>
      <c r="Q66" s="77">
        <f>SUM(Q61:Q65)</f>
        <v>0</v>
      </c>
      <c r="R66" s="78">
        <f>SUM(R61:R65)</f>
        <v>0</v>
      </c>
      <c r="S66" s="78"/>
      <c r="T66" s="78">
        <f>SUM(T61:T65)</f>
        <v>1757</v>
      </c>
      <c r="U66" s="79">
        <f t="shared" si="17"/>
        <v>0</v>
      </c>
      <c r="V66" s="78">
        <f>SUM(V61:V65)</f>
        <v>1757</v>
      </c>
      <c r="W66" s="186">
        <f>SUM(W61:W65)</f>
        <v>1757137</v>
      </c>
    </row>
    <row r="67" spans="1:23" ht="12.75">
      <c r="A67" s="4" t="s">
        <v>215</v>
      </c>
      <c r="B67" s="2">
        <v>6112</v>
      </c>
      <c r="C67" s="28" t="s">
        <v>44</v>
      </c>
      <c r="D67" s="72">
        <f>2/2*1989+(391+135)*0</f>
        <v>1989</v>
      </c>
      <c r="E67" s="73"/>
      <c r="F67" s="73">
        <f>108+9+51+(60+13+26)</f>
        <v>267</v>
      </c>
      <c r="G67" s="73"/>
      <c r="H67" s="70">
        <f t="shared" si="1"/>
        <v>1989</v>
      </c>
      <c r="I67" s="169">
        <f t="shared" si="11"/>
        <v>2256</v>
      </c>
      <c r="J67" s="177">
        <f>(2/2*171270*0+3/3*331438*0+4/4*533280*0+5/5*728894+6/6*(170120+10226+909240*0))+(7/7*(128398*0+(168680+8100)+8/8*168680+(-51654+3272)+8/8*55885.5+9/9*(168680+2186)+10/10*(168680+466)+11/11*(168680+3898))+12/12*((168680+8700)+48800)-9702.5*0+91665)</f>
        <v>2092638.5</v>
      </c>
      <c r="K67" s="223">
        <f>-51666*(1+0.26+0.09)-116.84-41.06</f>
        <v>-69907</v>
      </c>
      <c r="L67" s="168">
        <f t="shared" si="18"/>
        <v>2022731.5</v>
      </c>
      <c r="M67" s="9">
        <f>(156120+1730)*3</f>
        <v>473550</v>
      </c>
      <c r="N67" s="168">
        <f aca="true" t="shared" si="22" ref="N67:N87">L67+M67</f>
        <v>2496281.5</v>
      </c>
      <c r="O67" s="38"/>
      <c r="P67" s="39"/>
      <c r="Q67" s="75"/>
      <c r="R67" s="76"/>
      <c r="S67" s="76"/>
      <c r="T67" s="76"/>
      <c r="U67" s="74">
        <f t="shared" si="17"/>
        <v>0</v>
      </c>
      <c r="V67" s="169">
        <f>U67+T67</f>
        <v>0</v>
      </c>
      <c r="W67" s="185"/>
    </row>
    <row r="68" spans="1:23" ht="12.75">
      <c r="A68" s="9" t="s">
        <v>214</v>
      </c>
      <c r="B68" s="117">
        <v>6171</v>
      </c>
      <c r="C68" s="28" t="s">
        <v>222</v>
      </c>
      <c r="D68" s="72">
        <f>39212+5011/5011*5+6112/6112*(391+135)+5410/5410*285-D71-D72</f>
        <v>20513</v>
      </c>
      <c r="E68" s="73">
        <f>11/11*64.8</f>
        <v>64.8</v>
      </c>
      <c r="F68" s="73">
        <f>108+(14+85+248+0+10+100+46-100+45-105+426-866+121-25+64+22-2265+123+8-70+348+42+5410/5410*(32+50)+5+5)</f>
        <v>-1529</v>
      </c>
      <c r="G68" s="73"/>
      <c r="H68" s="70">
        <f t="shared" si="1"/>
        <v>20577.8</v>
      </c>
      <c r="I68" s="169">
        <f t="shared" si="11"/>
        <v>19048.8</v>
      </c>
      <c r="J68" s="177">
        <f>6171/6171*2/2*6/6*7/7*8/8*9/9*10/10*11/11*33243658.02*0+12/12*37210865.48+1/1*(7/7*8/8*9/9*439118*0+10/10*(464328*0+11/11*548307*0)+12/12*550441*0)+3/3*(9/9*394019*0+10/10*479504*0+11/11*533375*0+12/12*602650)+107/107*(5/5*2310*0+9/9*4665*0+12/12*5586)+2323/2323*(9/9*6459*0+10/10*8564*0+11/11*8734*0+12/12*12419)+3612/3612*95795+5011/5011*9566+5410/5410*(9/9*260913.61*0+10/10*284713.61*0+11/11*343224.61*0+12/12*367024.61)+5801/5801*(9/9*-224331*0+10/10*-248499*0+11/11*-273389*0+12/12*-298067)-98031/98031*(9/9*138804.5*0+10/10*145708.5*0+11/11*177696.3*0+12/12*193321.7)-92/92*64782.72*0+6062008/6062008*11000-81/81*(10600*0+10/10*79610*0+11/11*97200*0+12/12*228470)+3/3*((20+7.5+10+12+35+13+10+10+8+5+4+10+10+10+10+25+10+5+12)+4/4*(35+30+5+10+3.6+3.7+15+20+8+15+10+25+2.5+5+7+12)+8/8*0.7605+12/12*-20)*1000+5/5*5192/5192*(2*10000+30000)-J70-J71-(J75+1775665.44)-(J76+216670)+(10/10)*(5163/5163*(159.5*0+6/6*319*0+9/9*478.5*0+12/12*638)+5141/5141*(48153.34*0+6/6*84160.18*0+9/9*126778.63*0+12/12*164507.42))</f>
        <v>7681122.869999994</v>
      </c>
      <c r="K68" s="223">
        <f>-(1058893*0+1222061)*(1+0.26+0.09)-5041.14-1830.51</f>
        <v>-1656654</v>
      </c>
      <c r="L68" s="168">
        <f t="shared" si="18"/>
        <v>6024468.869999994</v>
      </c>
      <c r="M68" s="9">
        <f>(1645000-1130000)*(1+0.26+0.09+0.03)*3</f>
        <v>2132100.0000000005</v>
      </c>
      <c r="N68" s="168">
        <f t="shared" si="22"/>
        <v>8156568.869999994</v>
      </c>
      <c r="O68" s="46"/>
      <c r="P68" s="47" t="s">
        <v>157</v>
      </c>
      <c r="Q68" s="75">
        <f>2007/2007*(1032-2343/2343*882-150)*0+70+(10/10)*76</f>
        <v>146</v>
      </c>
      <c r="R68" s="76"/>
      <c r="S68" s="76"/>
      <c r="T68" s="76">
        <v>74</v>
      </c>
      <c r="U68" s="74">
        <f t="shared" si="17"/>
        <v>146</v>
      </c>
      <c r="V68" s="169">
        <f>U68+T68</f>
        <v>220</v>
      </c>
      <c r="W68" s="185">
        <f>3/3*(27332.54*0+6/6*49048.75*0+9/9*72108.66+12/12*19486.27)+(10/10)*(3/3*132.73*0+6/6*265.39*0+9/9*399.44*0+12/12*522.36+10/10*-399.44*0)</f>
        <v>92117.29000000001</v>
      </c>
    </row>
    <row r="69" spans="1:23" ht="12.75">
      <c r="A69" s="14"/>
      <c r="B69" s="102"/>
      <c r="C69" s="224" t="s">
        <v>158</v>
      </c>
      <c r="D69" s="72"/>
      <c r="E69" s="73">
        <f>7/7*99/99*(515/515*(2/2*100+3/3*500+4/4*200))</f>
        <v>800</v>
      </c>
      <c r="F69" s="73"/>
      <c r="G69" s="73"/>
      <c r="H69" s="70">
        <f>D69+E69</f>
        <v>800</v>
      </c>
      <c r="I69" s="169">
        <f t="shared" si="11"/>
        <v>800</v>
      </c>
      <c r="J69" s="177"/>
      <c r="K69" s="225"/>
      <c r="L69" s="168"/>
      <c r="M69" s="9"/>
      <c r="N69" s="168"/>
      <c r="O69" s="46"/>
      <c r="P69" s="47"/>
      <c r="Q69" s="75"/>
      <c r="R69" s="76"/>
      <c r="S69" s="76"/>
      <c r="T69" s="76"/>
      <c r="U69" s="74"/>
      <c r="V69" s="169"/>
      <c r="W69" s="185"/>
    </row>
    <row r="70" spans="1:23" ht="12.75">
      <c r="A70" s="226"/>
      <c r="B70" s="118"/>
      <c r="C70" s="119" t="s">
        <v>159</v>
      </c>
      <c r="D70" s="72"/>
      <c r="E70" s="73"/>
      <c r="F70" s="73"/>
      <c r="G70" s="73"/>
      <c r="H70" s="70"/>
      <c r="I70" s="169"/>
      <c r="J70" s="177">
        <f>(1/1*476717+2/2*486125+3/3*659855+4/4*494021+5/5*502921+6/6*661855+7/7*523259+8/8*519461+9/9*674468+10/10*548193+11/11*526776+12/12*728848)*(1+0.26+0.09)+7/7*0.1*0+8/8*0.45*0+9/9*0.1*0+10/10*0.3*0+11/11*-0.25*0+12/12*0.35</f>
        <v>9183374</v>
      </c>
      <c r="K70" s="225"/>
      <c r="L70" s="168"/>
      <c r="M70" s="9"/>
      <c r="N70" s="168"/>
      <c r="O70" s="46"/>
      <c r="P70" s="47"/>
      <c r="Q70" s="75"/>
      <c r="R70" s="76"/>
      <c r="S70" s="76"/>
      <c r="T70" s="76"/>
      <c r="U70" s="74"/>
      <c r="V70" s="169"/>
      <c r="W70" s="185"/>
    </row>
    <row r="71" spans="1:23" ht="12.75">
      <c r="A71" s="226"/>
      <c r="B71" s="118"/>
      <c r="C71" s="28" t="s">
        <v>45</v>
      </c>
      <c r="D71" s="72">
        <f>14011+3643+1261</f>
        <v>18915</v>
      </c>
      <c r="E71" s="73"/>
      <c r="F71" s="73">
        <f>-245.4+245.4+0</f>
        <v>0</v>
      </c>
      <c r="G71" s="73"/>
      <c r="H71" s="70">
        <f>D71+E71</f>
        <v>18915</v>
      </c>
      <c r="I71" s="169">
        <f t="shared" si="11"/>
        <v>18915</v>
      </c>
      <c r="J71" s="177">
        <f>(1/1*1179915+2/2*1170112+3/3*(1485595*0+1605317)+4/4*(1093348*0+1177493)+5/5*1176927+6/6*1555933+7/7*1197254+8/8*1161978+9/9*1552976+10/10*1169560+11/11*1180217+12/12*1506433)*(1+0.26+0.09)-(J75+1521964)-(J76+216670)+7/7*0.05*0+8/8*0.15*0+9/9*-0.15*0+10/10*0.25*0+11/11*0.25*0+12/12*-0.25</f>
        <v>19367421</v>
      </c>
      <c r="K71" s="212"/>
      <c r="L71" s="168">
        <f t="shared" si="18"/>
        <v>19367421</v>
      </c>
      <c r="M71" s="9">
        <f>1130000*(1+0.26+0.09+0.03)*3</f>
        <v>4678200.000000001</v>
      </c>
      <c r="N71" s="168">
        <f t="shared" si="22"/>
        <v>24045621</v>
      </c>
      <c r="O71" s="273" t="s">
        <v>160</v>
      </c>
      <c r="P71" s="274"/>
      <c r="Q71" s="120">
        <f>(15.3*8397+417.9*(8397+2092+622+2063+8886))/1000+0.5259+0.126</f>
        <v>9348</v>
      </c>
      <c r="R71" s="76"/>
      <c r="S71" s="76"/>
      <c r="T71" s="76"/>
      <c r="U71" s="74">
        <f t="shared" si="17"/>
        <v>9348</v>
      </c>
      <c r="V71" s="169">
        <f>U71+T71</f>
        <v>9348</v>
      </c>
      <c r="W71" s="185">
        <f>(2/2*1726000*0+3/3*2589000*0+4/4*3452000*0+5/5*4315000*0+6/6*5178000*0+7/7*6041000*0+9/9*7767000*0+10/10*8630000*0+11/11*9493000*0+12/12*10358000)*9348/(333+677+9348)+300.83*0+3/3*451.25*0+4/4*-398.339*0+5/5*-247.924*0+6/6*-97.509*0+7/7*52.906*0+9/9*(353.736*0-646.264)*0+10/10*504.151*0+11/11*150.416*0</f>
        <v>9348000</v>
      </c>
    </row>
    <row r="72" spans="1:23" ht="12.75">
      <c r="A72" s="226"/>
      <c r="B72" s="118"/>
      <c r="C72" s="227" t="s">
        <v>118</v>
      </c>
      <c r="D72" s="72">
        <v>600</v>
      </c>
      <c r="E72" s="73"/>
      <c r="F72" s="73">
        <f>-245.4+245.4+0</f>
        <v>0</v>
      </c>
      <c r="G72" s="73"/>
      <c r="H72" s="70">
        <f>D72+E72</f>
        <v>600</v>
      </c>
      <c r="I72" s="169">
        <f>H72+F72</f>
        <v>600</v>
      </c>
      <c r="J72" s="177">
        <v>550441</v>
      </c>
      <c r="K72" s="212"/>
      <c r="L72" s="168"/>
      <c r="M72" s="9"/>
      <c r="N72" s="168"/>
      <c r="O72" s="121"/>
      <c r="P72" s="228"/>
      <c r="Q72" s="120"/>
      <c r="R72" s="76"/>
      <c r="S72" s="76"/>
      <c r="T72" s="76"/>
      <c r="U72" s="74"/>
      <c r="V72" s="169"/>
      <c r="W72" s="185"/>
    </row>
    <row r="73" spans="1:23" ht="12.75" customHeight="1" hidden="1">
      <c r="A73" s="226"/>
      <c r="B73" s="118"/>
      <c r="C73" s="28"/>
      <c r="D73" s="72"/>
      <c r="E73" s="73"/>
      <c r="F73" s="73"/>
      <c r="G73" s="73"/>
      <c r="H73" s="70"/>
      <c r="I73" s="169"/>
      <c r="J73" s="177"/>
      <c r="K73" s="212"/>
      <c r="L73" s="168"/>
      <c r="M73" s="9"/>
      <c r="N73" s="168"/>
      <c r="O73" s="121"/>
      <c r="P73" s="228"/>
      <c r="Q73" s="120"/>
      <c r="R73" s="76"/>
      <c r="S73" s="76"/>
      <c r="T73" s="76"/>
      <c r="U73" s="74"/>
      <c r="V73" s="169"/>
      <c r="W73" s="185"/>
    </row>
    <row r="74" spans="1:23" ht="12.75" customHeight="1">
      <c r="A74" s="226"/>
      <c r="B74" s="122"/>
      <c r="C74" s="28" t="s">
        <v>46</v>
      </c>
      <c r="D74" s="72"/>
      <c r="E74" s="73"/>
      <c r="F74" s="73"/>
      <c r="G74" s="73"/>
      <c r="H74" s="70">
        <f aca="true" t="shared" si="23" ref="H74:H81">D74+E74</f>
        <v>0</v>
      </c>
      <c r="I74" s="169">
        <f t="shared" si="11"/>
        <v>0</v>
      </c>
      <c r="J74" s="177">
        <f>2/2*104509.2*0+5/5*180329.6+9/9*80660+11/11*80660+12/12*80660</f>
        <v>422309.6</v>
      </c>
      <c r="K74" s="212"/>
      <c r="L74" s="168">
        <f t="shared" si="18"/>
        <v>422309.6</v>
      </c>
      <c r="M74" s="9"/>
      <c r="N74" s="168">
        <f t="shared" si="22"/>
        <v>422309.6</v>
      </c>
      <c r="O74" s="38"/>
      <c r="P74" s="47" t="s">
        <v>90</v>
      </c>
      <c r="Q74" s="75">
        <f>2007/2007*722*0+500</f>
        <v>500</v>
      </c>
      <c r="R74" s="76"/>
      <c r="S74" s="76"/>
      <c r="T74" s="76"/>
      <c r="U74" s="74">
        <f t="shared" si="17"/>
        <v>500</v>
      </c>
      <c r="V74" s="169">
        <f>U74+T74</f>
        <v>500</v>
      </c>
      <c r="W74" s="185">
        <f>2/2*107000*0+3/3*127500+4/4*13500+5/5*37900+6/6*28500+7/7*66000+9/9*67600+10/10*79500+11/11*177000+12/12*91700</f>
        <v>689200</v>
      </c>
    </row>
    <row r="75" spans="1:23" ht="12.75" hidden="1">
      <c r="A75" s="9"/>
      <c r="B75" s="229">
        <f>J70+J71+J75+J76-A75</f>
        <v>28550795</v>
      </c>
      <c r="C75" s="28" t="s">
        <v>47</v>
      </c>
      <c r="D75" s="72"/>
      <c r="E75" s="73"/>
      <c r="F75" s="73"/>
      <c r="G75" s="73"/>
      <c r="H75" s="70">
        <f t="shared" si="23"/>
        <v>0</v>
      </c>
      <c r="I75" s="169">
        <f t="shared" si="11"/>
        <v>0</v>
      </c>
      <c r="J75" s="177">
        <f>(1/1*81356+2/2*85627+3/3*119722+4/4*84145+5/5*86478+6/6*111684+7/7*83257+8/8*76608+9/9*113616+10/10*83304+11/11*12/12*198133)*(1+0.26+0.09)+7/7*-0.2*0+8/8*-0.15*0+9/9*0.05*0+10/10*0.45*0+11/11*0.05*0+12/12*0.5-1517306</f>
        <v>0</v>
      </c>
      <c r="K75" s="212"/>
      <c r="L75" s="168">
        <f t="shared" si="18"/>
        <v>0</v>
      </c>
      <c r="M75" s="9"/>
      <c r="N75" s="168">
        <f t="shared" si="22"/>
        <v>0</v>
      </c>
      <c r="O75" s="38" t="s">
        <v>82</v>
      </c>
      <c r="P75" s="39"/>
      <c r="Q75" s="75"/>
      <c r="R75" s="76"/>
      <c r="S75" s="76"/>
      <c r="T75" s="76"/>
      <c r="U75" s="74">
        <f t="shared" si="17"/>
        <v>0</v>
      </c>
      <c r="V75" s="169">
        <f aca="true" t="shared" si="24" ref="V75:V87">U75+T75</f>
        <v>0</v>
      </c>
      <c r="W75" s="185"/>
    </row>
    <row r="76" spans="1:23" ht="12.75" hidden="1">
      <c r="A76" s="11"/>
      <c r="B76" s="15"/>
      <c r="C76" s="28" t="s">
        <v>48</v>
      </c>
      <c r="D76" s="72"/>
      <c r="E76" s="73"/>
      <c r="F76" s="73"/>
      <c r="G76" s="73"/>
      <c r="H76" s="70">
        <f t="shared" si="23"/>
        <v>0</v>
      </c>
      <c r="I76" s="169">
        <f t="shared" si="11"/>
        <v>0</v>
      </c>
      <c r="J76" s="177">
        <f>7/7*(12345/12345*239109*0+216670)*(1+(0.26+0.09)*0)-216670</f>
        <v>0</v>
      </c>
      <c r="K76" s="212"/>
      <c r="L76" s="168">
        <f t="shared" si="18"/>
        <v>0</v>
      </c>
      <c r="M76" s="9"/>
      <c r="N76" s="168">
        <f t="shared" si="22"/>
        <v>0</v>
      </c>
      <c r="O76" s="38" t="s">
        <v>82</v>
      </c>
      <c r="P76" s="39"/>
      <c r="Q76" s="75"/>
      <c r="R76" s="76"/>
      <c r="S76" s="76"/>
      <c r="T76" s="76"/>
      <c r="U76" s="74">
        <f t="shared" si="17"/>
        <v>0</v>
      </c>
      <c r="V76" s="169">
        <f t="shared" si="24"/>
        <v>0</v>
      </c>
      <c r="W76" s="185"/>
    </row>
    <row r="77" spans="1:23" ht="12.75">
      <c r="A77" s="11"/>
      <c r="B77" s="2"/>
      <c r="C77" s="28" t="s">
        <v>49</v>
      </c>
      <c r="D77" s="170">
        <f>(5/5*2020+6/6*1590+9/9*(21830+(1989-40.56))-0.44-27388*0)*0.03-1.64</f>
        <v>820</v>
      </c>
      <c r="E77" s="73"/>
      <c r="F77" s="73"/>
      <c r="G77" s="73"/>
      <c r="H77" s="70">
        <f t="shared" si="23"/>
        <v>820</v>
      </c>
      <c r="I77" s="169">
        <f t="shared" si="11"/>
        <v>820</v>
      </c>
      <c r="J77" s="177">
        <f>(5909/5909*0+(10/10)*5342/5342)*(5/5*274174*0+6/6*(485426*0+337272)*0+7/7*418248*0+8/8*481516*0+9/9*543678*0+10/10*625001+11/11*62722+12/12*((99175.1*0+62413)+81639))</f>
        <v>831775</v>
      </c>
      <c r="K77" s="212"/>
      <c r="L77" s="168">
        <f t="shared" si="18"/>
        <v>831775</v>
      </c>
      <c r="M77" s="9"/>
      <c r="N77" s="168">
        <f t="shared" si="22"/>
        <v>831775</v>
      </c>
      <c r="O77" s="38"/>
      <c r="P77" s="43" t="s">
        <v>223</v>
      </c>
      <c r="Q77" s="75"/>
      <c r="R77" s="76"/>
      <c r="S77" s="76"/>
      <c r="T77" s="76"/>
      <c r="U77" s="74">
        <f t="shared" si="17"/>
        <v>0</v>
      </c>
      <c r="V77" s="169">
        <f t="shared" si="24"/>
        <v>0</v>
      </c>
      <c r="W77" s="185">
        <f>2/2*52500*0+3/3*74250*0+(4/4*96500+5/5*20750)+6/6*(-117250+96500+41500)+7/7*24750+89/89*52300+10/10*23950+11/11*23950+12/12*21950</f>
        <v>284900</v>
      </c>
    </row>
    <row r="78" spans="1:23" ht="12.75">
      <c r="A78" s="16"/>
      <c r="B78" s="2"/>
      <c r="C78" s="28" t="s">
        <v>50</v>
      </c>
      <c r="D78" s="72">
        <v>335</v>
      </c>
      <c r="E78" s="73"/>
      <c r="F78" s="73">
        <f>-49+183+38</f>
        <v>172</v>
      </c>
      <c r="G78" s="73"/>
      <c r="H78" s="70">
        <f t="shared" si="23"/>
        <v>335</v>
      </c>
      <c r="I78" s="169">
        <f t="shared" si="11"/>
        <v>507</v>
      </c>
      <c r="J78" s="177">
        <f>2/2*152605.5*0+3/3*186844.5*0+4/4*246351.7*0+5/5*127821.9*0+6/6*208399.8*0+7/7*343221.3*0+9/9*347136.2*0+10/10*477590.2+11/11*1250+12/12*500</f>
        <v>479340.2</v>
      </c>
      <c r="K78" s="212"/>
      <c r="L78" s="168">
        <f t="shared" si="18"/>
        <v>479340.2</v>
      </c>
      <c r="M78" s="9"/>
      <c r="N78" s="168">
        <f t="shared" si="22"/>
        <v>479340.2</v>
      </c>
      <c r="O78" s="230" t="s">
        <v>91</v>
      </c>
      <c r="P78" s="47" t="s">
        <v>92</v>
      </c>
      <c r="Q78" s="75"/>
      <c r="R78" s="76"/>
      <c r="S78" s="76"/>
      <c r="T78" s="76">
        <v>384</v>
      </c>
      <c r="U78" s="74">
        <f t="shared" si="17"/>
        <v>0</v>
      </c>
      <c r="V78" s="169">
        <f t="shared" si="24"/>
        <v>384</v>
      </c>
      <c r="W78" s="185">
        <f>2/2*14000+3/3*20000+5/5*70000+6/6*5000+9/9*85000+10/10*70000+11/11*10000+12/12*110000</f>
        <v>384000</v>
      </c>
    </row>
    <row r="79" spans="1:23" ht="12.75">
      <c r="A79" s="16"/>
      <c r="B79" s="2"/>
      <c r="C79" s="28" t="s">
        <v>51</v>
      </c>
      <c r="D79" s="72">
        <v>245</v>
      </c>
      <c r="E79" s="73"/>
      <c r="F79" s="73">
        <f>153+40-10+3</f>
        <v>186</v>
      </c>
      <c r="G79" s="73"/>
      <c r="H79" s="70">
        <f t="shared" si="23"/>
        <v>245</v>
      </c>
      <c r="I79" s="169">
        <f t="shared" si="11"/>
        <v>431</v>
      </c>
      <c r="J79" s="177">
        <f>2/2*90642.5*0+3/3*134247.5*0+4/4*151783.5*0+5/5*154823.5*0+6/6*236897*0+7/7*266145*0+8/8*335468.5*0+9/9*338860.5*0+10/10*416531.5+11/11*3740+12/12*500</f>
        <v>420771.5</v>
      </c>
      <c r="K79" s="212"/>
      <c r="L79" s="168">
        <f t="shared" si="18"/>
        <v>420771.5</v>
      </c>
      <c r="M79" s="9"/>
      <c r="N79" s="168">
        <f t="shared" si="22"/>
        <v>420771.5</v>
      </c>
      <c r="O79" s="38"/>
      <c r="P79" s="47" t="s">
        <v>93</v>
      </c>
      <c r="Q79" s="75"/>
      <c r="R79" s="76"/>
      <c r="S79" s="76"/>
      <c r="T79" s="76">
        <v>26</v>
      </c>
      <c r="U79" s="74">
        <f t="shared" si="17"/>
        <v>0</v>
      </c>
      <c r="V79" s="169">
        <f t="shared" si="24"/>
        <v>26</v>
      </c>
      <c r="W79" s="185">
        <f>5/5*12649+9/9*13671</f>
        <v>26320</v>
      </c>
    </row>
    <row r="80" spans="1:23" ht="12.75">
      <c r="A80" s="16"/>
      <c r="B80" s="2"/>
      <c r="C80" s="28" t="s">
        <v>52</v>
      </c>
      <c r="D80" s="72">
        <v>115</v>
      </c>
      <c r="E80" s="73"/>
      <c r="F80" s="73">
        <f>55+31+4</f>
        <v>90</v>
      </c>
      <c r="G80" s="73"/>
      <c r="H80" s="70">
        <f t="shared" si="23"/>
        <v>115</v>
      </c>
      <c r="I80" s="169">
        <f t="shared" si="11"/>
        <v>205</v>
      </c>
      <c r="J80" s="177">
        <f>2/2*46021.5*0+3/3*65318.5*0+4/4*73718.5*0+5/5*74698.5*0+6/6*114297.5*0+7/7*158072.5*0+8/8*159052.5+9/9*428+10/10*39528+11/11*980+12/12*10350</f>
        <v>210338.5</v>
      </c>
      <c r="K80" s="212"/>
      <c r="L80" s="168">
        <f t="shared" si="18"/>
        <v>210338.5</v>
      </c>
      <c r="M80" s="9"/>
      <c r="N80" s="168">
        <f t="shared" si="22"/>
        <v>210338.5</v>
      </c>
      <c r="O80" s="38"/>
      <c r="P80" s="48" t="s">
        <v>224</v>
      </c>
      <c r="Q80" s="75"/>
      <c r="R80" s="76"/>
      <c r="S80" s="76"/>
      <c r="T80" s="76">
        <v>665</v>
      </c>
      <c r="U80" s="74">
        <f t="shared" si="17"/>
        <v>0</v>
      </c>
      <c r="V80" s="169">
        <f t="shared" si="24"/>
        <v>665</v>
      </c>
      <c r="W80" s="187">
        <f>2/2*216062.09+4/4*200+5/5*3213+6/6*-2613+7/7*300+9/9*(4955+2328/2328*960*0*10/10)+10/10*(-43930+1112102008/1112102008*50600*0)+11/11*-9725+12/12*496894</f>
        <v>665356.09</v>
      </c>
    </row>
    <row r="81" spans="1:23" ht="12.75">
      <c r="A81" s="16"/>
      <c r="B81" s="2"/>
      <c r="C81" s="28" t="s">
        <v>53</v>
      </c>
      <c r="D81" s="72">
        <f>22</f>
        <v>22</v>
      </c>
      <c r="E81" s="73"/>
      <c r="F81" s="73">
        <f>63+61</f>
        <v>124</v>
      </c>
      <c r="G81" s="73"/>
      <c r="H81" s="70">
        <f t="shared" si="23"/>
        <v>22</v>
      </c>
      <c r="I81" s="169">
        <f t="shared" si="11"/>
        <v>146</v>
      </c>
      <c r="J81" s="177">
        <f>2/2*42690.5*0+3/3*64450.5*0+4/4*68575.5*0+6/6*85314.5*0+7/7*85874.5*0+8/8*151324.5+10/10*2006+11/11*6780.5+12/12*9536</f>
        <v>169647</v>
      </c>
      <c r="K81" s="212"/>
      <c r="L81" s="168">
        <f t="shared" si="18"/>
        <v>169647</v>
      </c>
      <c r="M81" s="9"/>
      <c r="N81" s="168">
        <f t="shared" si="22"/>
        <v>169647</v>
      </c>
      <c r="O81" s="38"/>
      <c r="P81" s="47" t="s">
        <v>94</v>
      </c>
      <c r="Q81" s="75">
        <f>2007/2007*882*0+300</f>
        <v>300</v>
      </c>
      <c r="R81" s="76"/>
      <c r="S81" s="76"/>
      <c r="T81" s="76">
        <v>86</v>
      </c>
      <c r="U81" s="74">
        <f t="shared" si="17"/>
        <v>300</v>
      </c>
      <c r="V81" s="169">
        <f t="shared" si="24"/>
        <v>386</v>
      </c>
      <c r="W81" s="187">
        <f>2/2*91689+5/5*202121+6/6*156+7/7*30698+10/10*61095</f>
        <v>385759</v>
      </c>
    </row>
    <row r="82" spans="1:23" ht="12.75">
      <c r="A82" s="16"/>
      <c r="B82" s="5">
        <v>19212008</v>
      </c>
      <c r="C82" s="28" t="s">
        <v>161</v>
      </c>
      <c r="D82" s="72"/>
      <c r="E82" s="73"/>
      <c r="F82" s="73"/>
      <c r="G82" s="73"/>
      <c r="H82" s="70"/>
      <c r="I82" s="169">
        <f t="shared" si="11"/>
        <v>0</v>
      </c>
      <c r="J82" s="177">
        <f>6/6*7524*0+9/9*48524+10/10*889+11/11*45000</f>
        <v>94413</v>
      </c>
      <c r="K82" s="212"/>
      <c r="L82" s="168"/>
      <c r="M82" s="9"/>
      <c r="N82" s="168"/>
      <c r="O82" s="38"/>
      <c r="P82" s="231" t="s">
        <v>162</v>
      </c>
      <c r="Q82" s="75"/>
      <c r="R82" s="76">
        <f>6/6*50*0</f>
        <v>0</v>
      </c>
      <c r="S82" s="76"/>
      <c r="T82" s="76"/>
      <c r="U82" s="74">
        <f t="shared" si="17"/>
        <v>0</v>
      </c>
      <c r="V82" s="169">
        <f t="shared" si="24"/>
        <v>0</v>
      </c>
      <c r="W82" s="187">
        <f>6/6*50000+9/9*30000+12/12*20000</f>
        <v>100000</v>
      </c>
    </row>
    <row r="83" spans="1:23" ht="12.75">
      <c r="A83" s="16"/>
      <c r="B83" s="5">
        <v>21062008</v>
      </c>
      <c r="C83" s="28" t="s">
        <v>163</v>
      </c>
      <c r="D83" s="72"/>
      <c r="E83" s="73"/>
      <c r="F83" s="73"/>
      <c r="G83" s="73"/>
      <c r="H83" s="70"/>
      <c r="I83" s="169">
        <f t="shared" si="11"/>
        <v>0</v>
      </c>
      <c r="J83" s="177">
        <f>6/6*1729</f>
        <v>1729</v>
      </c>
      <c r="K83" s="212"/>
      <c r="L83" s="168"/>
      <c r="M83" s="9"/>
      <c r="N83" s="168"/>
      <c r="O83" s="38"/>
      <c r="P83" s="47"/>
      <c r="Q83" s="75"/>
      <c r="R83" s="76"/>
      <c r="S83" s="76"/>
      <c r="T83" s="76"/>
      <c r="U83" s="74"/>
      <c r="V83" s="169"/>
      <c r="W83" s="187"/>
    </row>
    <row r="84" spans="1:23" ht="12.75">
      <c r="A84" s="16"/>
      <c r="B84" s="232" t="s">
        <v>164</v>
      </c>
      <c r="C84" s="28" t="s">
        <v>165</v>
      </c>
      <c r="D84" s="72"/>
      <c r="E84" s="73"/>
      <c r="F84" s="73"/>
      <c r="G84" s="73"/>
      <c r="H84" s="70"/>
      <c r="I84" s="169">
        <f t="shared" si="11"/>
        <v>0</v>
      </c>
      <c r="J84" s="177">
        <f>8/8*903+10/10*114395+11/11*(6122+6112/6112*1503)+12/12*1780</f>
        <v>124703</v>
      </c>
      <c r="K84" s="212"/>
      <c r="L84" s="168"/>
      <c r="M84" s="9"/>
      <c r="N84" s="168"/>
      <c r="O84" s="38"/>
      <c r="P84" s="47" t="s">
        <v>166</v>
      </c>
      <c r="Q84" s="75"/>
      <c r="R84" s="76"/>
      <c r="S84" s="76"/>
      <c r="T84" s="76">
        <v>20</v>
      </c>
      <c r="U84" s="74"/>
      <c r="V84" s="169">
        <f t="shared" si="24"/>
        <v>20</v>
      </c>
      <c r="W84" s="187">
        <f>9/9*27882*0+10/10*50600</f>
        <v>50600</v>
      </c>
    </row>
    <row r="85" spans="1:23" ht="12.75">
      <c r="A85" s="233"/>
      <c r="B85" s="5" t="s">
        <v>167</v>
      </c>
      <c r="C85" s="28" t="s">
        <v>168</v>
      </c>
      <c r="D85" s="72"/>
      <c r="E85" s="73"/>
      <c r="F85" s="73"/>
      <c r="G85" s="73"/>
      <c r="H85" s="70"/>
      <c r="I85" s="169">
        <f t="shared" si="11"/>
        <v>0</v>
      </c>
      <c r="J85" s="177">
        <f>5/5*12742.5*0+6/6*37111+7/7*4971</f>
        <v>42082</v>
      </c>
      <c r="K85" s="212"/>
      <c r="L85" s="168"/>
      <c r="M85" s="9"/>
      <c r="N85" s="168"/>
      <c r="O85" s="38"/>
      <c r="P85" s="47"/>
      <c r="Q85" s="75"/>
      <c r="R85" s="76"/>
      <c r="S85" s="76"/>
      <c r="T85" s="76"/>
      <c r="U85" s="74"/>
      <c r="V85" s="169"/>
      <c r="W85" s="187"/>
    </row>
    <row r="86" spans="1:23" ht="12.75">
      <c r="A86" s="234"/>
      <c r="B86" s="106">
        <v>24122008</v>
      </c>
      <c r="C86" s="103" t="s">
        <v>169</v>
      </c>
      <c r="D86" s="72"/>
      <c r="E86" s="73"/>
      <c r="F86" s="73">
        <f>12</f>
        <v>12</v>
      </c>
      <c r="G86" s="73"/>
      <c r="H86" s="70"/>
      <c r="I86" s="169">
        <f t="shared" si="11"/>
        <v>12</v>
      </c>
      <c r="J86" s="177">
        <f>0+12/12*29278</f>
        <v>29278</v>
      </c>
      <c r="K86" s="212"/>
      <c r="L86" s="168"/>
      <c r="M86" s="9"/>
      <c r="N86" s="168"/>
      <c r="O86" s="38"/>
      <c r="P86" s="47"/>
      <c r="Q86" s="75"/>
      <c r="R86" s="76"/>
      <c r="S86" s="76"/>
      <c r="T86" s="76"/>
      <c r="U86" s="74"/>
      <c r="V86" s="169"/>
      <c r="W86" s="187"/>
    </row>
    <row r="87" spans="1:23" ht="19.5" customHeight="1">
      <c r="A87" s="268" t="s">
        <v>225</v>
      </c>
      <c r="B87" s="269"/>
      <c r="C87" s="270"/>
      <c r="D87" s="72"/>
      <c r="E87" s="73"/>
      <c r="F87" s="73">
        <f>178+285+96+767</f>
        <v>1326</v>
      </c>
      <c r="G87" s="73"/>
      <c r="H87" s="70">
        <f aca="true" t="shared" si="25" ref="H87:H94">D87+E87</f>
        <v>0</v>
      </c>
      <c r="I87" s="169">
        <f t="shared" si="11"/>
        <v>1326</v>
      </c>
      <c r="J87" s="177">
        <f>4/4*(3/3*357+12/12*500)+1052/1052*3/3*(6000+8/8*69889+10/10*101735.5)+(153/153*(49.5+6/6*255)+8474/8474*(866*0+3/3*1299*0+4/4*1768*0+5/5*2213*0+6/6*2658*0+7/7*3103*0+8/8*3548*0+9/9*3993*0+10/10*4438*0+11/11*4883*0+12/12*5328)+4520/4520*(3/3*199307.9*0+4/4*273772.8*0+5/5*344349.7*0+6/6*414926.59*0+7/7*479698.59*0+8/8*533215.38*0+9/9*607637.99*0+10/10*682869.58*0+11/11*757645.17*0+12/12*766939.77)+4/4*(1251/1251*2934+716/716*564*0*5/5)+6/6*(1070/1070*357+1071/1071*238+1074/1074*2234+1075/1075*(124+6121/6121*284886)+1368/1368*-4806*0*7/7+1517/1517*3124)+11/11*215/215*4000)</f>
        <v>1248950.77</v>
      </c>
      <c r="K87" s="212"/>
      <c r="L87" s="168">
        <f t="shared" si="18"/>
        <v>1248950.77</v>
      </c>
      <c r="M87" s="9"/>
      <c r="N87" s="168">
        <f t="shared" si="22"/>
        <v>1248950.77</v>
      </c>
      <c r="O87" s="235">
        <f>4320.1-O88+220-4540.1</f>
        <v>0</v>
      </c>
      <c r="P87" s="235">
        <f>5016796.02-P88+522.36-5017318.38</f>
        <v>0</v>
      </c>
      <c r="Q87" s="75"/>
      <c r="R87" s="76"/>
      <c r="S87" s="76"/>
      <c r="T87" s="76"/>
      <c r="U87" s="74">
        <f t="shared" si="17"/>
        <v>0</v>
      </c>
      <c r="V87" s="169">
        <f t="shared" si="24"/>
        <v>0</v>
      </c>
      <c r="W87" s="185"/>
    </row>
    <row r="88" spans="1:23" s="104" customFormat="1" ht="12.75">
      <c r="A88" s="264" t="s">
        <v>126</v>
      </c>
      <c r="B88" s="265"/>
      <c r="C88" s="14">
        <f>J88+J122*0+J126+J127+J139+J140+(J150-4351/4351*20965.5*0)-(9/9)*(4893955.63*0+3/3*8585660.68*0+4/4*13682036.23*0+5/5*16964146.79*0+6/6*20770103.95*0+7/7*25112309.82*0+8/8*28326218.4*0+9/9*31495589.1*0+10/10*36417072.32*0+11/11*40076508.6*0+12/12*44559541.66)-(10/10)*(3/3*(159.5+48153.34)*0+6/6*((319+8416+0.18)*0+9/9*(478.5+126778.63)*0+12/12*(638+164507.42)+5342/5342*(337272*0+7/7*418248*0+8/8*481516*0+9/9*543678*0+10/10*625001*0+11/11*687723*0+12/12*831775)))</f>
        <v>199999.50000000175</v>
      </c>
      <c r="D88" s="77">
        <f>SUM(D67:D87)</f>
        <v>43554</v>
      </c>
      <c r="E88" s="78">
        <f>SUM(E67:E87)</f>
        <v>864.8</v>
      </c>
      <c r="F88" s="78">
        <f>SUM(F67:F87)</f>
        <v>648</v>
      </c>
      <c r="G88" s="78"/>
      <c r="H88" s="79">
        <f t="shared" si="25"/>
        <v>44418.8</v>
      </c>
      <c r="I88" s="78">
        <f aca="true" t="shared" si="26" ref="I88:N88">SUM(I67:I87)</f>
        <v>45066.8</v>
      </c>
      <c r="J88" s="180">
        <f t="shared" si="26"/>
        <v>42950334.94</v>
      </c>
      <c r="K88" s="167">
        <f t="shared" si="26"/>
        <v>-1726561</v>
      </c>
      <c r="L88" s="168">
        <f t="shared" si="26"/>
        <v>31197753.939999994</v>
      </c>
      <c r="M88" s="167">
        <f t="shared" si="26"/>
        <v>7283850.000000002</v>
      </c>
      <c r="N88" s="168">
        <f t="shared" si="26"/>
        <v>38481603.94</v>
      </c>
      <c r="O88" s="123">
        <f>V88+(V126+V127+V150+V139+V140-V71*0)+((10/10)*2141/2141*(163*0+313*0+V102-76)+SUM(V89:V105)*0-(9/9)*(2/2*(10218+541.2)+4/4*348.3+6/6*(160)+7/7*(392+348.3)+10/10*348.3+12/12*(21+16/16*1255))-(10/10)*(2/2*0))-180</f>
        <v>1.8189894035458565E-12</v>
      </c>
      <c r="P88" s="114">
        <f>W88+(W126+W127+W150+W139+W140-W71*0)+SUM(W89:W105)*0-(9/9)*(2/2*(2039651.09*0+481651.09+1558000)*0+3/3*1111975.63*0+4/4*1556233.63*0+5/5*2274116.63*0+7/7*3108431.84*0+9/9*3472899.75*0+10/10*4034540.75*0+11/11*4235765.75*0+12/12*5016796.02+4112/4112*(9/9*7789000*0+11/11*8568000*0+12/12*9348000+4/4*(305000*0+12/12*333000+620000*0+12/12*677000)))-(10/10)*(2/2*0)+1009477.64</f>
        <v>0</v>
      </c>
      <c r="Q88" s="77">
        <f>SUM(Q67:Q87)</f>
        <v>10294</v>
      </c>
      <c r="R88" s="78">
        <f>SUM(R67:R87)</f>
        <v>0</v>
      </c>
      <c r="S88" s="78"/>
      <c r="T88" s="78">
        <f>SUM(T67:T87)</f>
        <v>1255</v>
      </c>
      <c r="U88" s="79">
        <f>Q88+R88</f>
        <v>10294</v>
      </c>
      <c r="V88" s="78">
        <f>SUM(V67:V87)+(10/10)*(V102*0+V104+V126+V127+V139+V140+V134*0+V151-1961.8*0)*0</f>
        <v>11549</v>
      </c>
      <c r="W88" s="236">
        <f>SUM(W67:W87)+(10/10)*((W102-459.47)+W104*0*6/6+W126+W127+W139+W140+W134*0+W151-2020814.9*0)*0</f>
        <v>12026252.379999999</v>
      </c>
    </row>
    <row r="89" spans="1:23" ht="12.75">
      <c r="A89" s="112"/>
      <c r="B89" s="237"/>
      <c r="C89" s="14">
        <f>C88+C49</f>
        <v>199999.50000000175</v>
      </c>
      <c r="D89" s="80"/>
      <c r="E89" s="74"/>
      <c r="F89" s="74"/>
      <c r="G89" s="74"/>
      <c r="H89" s="70">
        <f t="shared" si="25"/>
        <v>0</v>
      </c>
      <c r="I89" s="169">
        <f t="shared" si="11"/>
        <v>0</v>
      </c>
      <c r="J89" s="177"/>
      <c r="K89" s="212"/>
      <c r="L89" s="215"/>
      <c r="M89" s="9"/>
      <c r="N89" s="168">
        <f>L89+M89</f>
        <v>0</v>
      </c>
      <c r="O89" s="38"/>
      <c r="P89" s="47" t="s">
        <v>95</v>
      </c>
      <c r="Q89" s="75">
        <f>2711*0+1341/1341*((348+228*0)*0+250)+1342/1342*((54+2007/2007*9+70*0)*0+60)+1343/1343*((761+404*0)*0+806)+1344/1344*((27+11*0)*0+15)+1345/1345*300+1347/1347*((1512+1076*0-335*0)*0+1280)</f>
        <v>2711</v>
      </c>
      <c r="R89" s="76"/>
      <c r="S89" s="76"/>
      <c r="T89" s="76"/>
      <c r="U89" s="74">
        <f>Q89+R89</f>
        <v>2711</v>
      </c>
      <c r="V89" s="169">
        <f>U89+T89</f>
        <v>2711</v>
      </c>
      <c r="W89" s="185">
        <f>2/2*(1/1*(54092*0+3/3*102753*0+4/4*139063*0+5/5*204839*0+6/6*207199*0+7/7*209871.75*0+9/9*225668.5*0+10/10*246703.75*0+11/11*247990.5*0+12/12*249454.75)+2/2*(5580*0+3/3*6585*0+4/4*11272.5*0+5/5*23572.5*0+6/6*28852.5*0+7/7*34297.5*0+9/9*30735*0+10/10*42277.5*0+11/11*35962.5*0+12/12*44062.5)+3/3*(81550*0+3/3*97071*0+4/4*192903*0+5/5*276908*0+6/6*290833*0+7/7*313916*0+9/9*331526*0+10/10*388149*0+11/11*476094*0+12/12*532629)+4/4*(5501.5*0+4/4*6394*0+6/6*13106)+5/5*(38384*0+3/3*56116*0+4/4*95240*0+5/5*117732*0+6/6*134212*0+7/7*177432*0+9/9*196356*0+10/10*241320*0+11/11*254128*0+12/12*279708)+7/7*(160000*0+3/3*612327*0+4/4*656006.5*0+5/5*806006.5*0+6/6*856006.5*0+9/9*1058606.5*0+10/10*1076206.5*0+11/11*1176206.5*0+12/12*1256206.5))</f>
        <v>2375166.75</v>
      </c>
    </row>
    <row r="90" spans="1:23" ht="12.75">
      <c r="A90" s="11"/>
      <c r="B90" s="2"/>
      <c r="C90" s="28"/>
      <c r="D90" s="80"/>
      <c r="E90" s="74"/>
      <c r="F90" s="74"/>
      <c r="G90" s="74"/>
      <c r="H90" s="70">
        <f t="shared" si="25"/>
        <v>0</v>
      </c>
      <c r="I90" s="169">
        <f t="shared" si="11"/>
        <v>0</v>
      </c>
      <c r="J90" s="177"/>
      <c r="K90" s="212"/>
      <c r="L90" s="215"/>
      <c r="M90" s="9"/>
      <c r="N90" s="168">
        <f>L90+M90</f>
        <v>0</v>
      </c>
      <c r="O90" s="38"/>
      <c r="P90" s="47" t="s">
        <v>96</v>
      </c>
      <c r="Q90" s="75">
        <v>3700</v>
      </c>
      <c r="R90" s="76"/>
      <c r="S90" s="76"/>
      <c r="T90" s="76"/>
      <c r="U90" s="74">
        <f aca="true" t="shared" si="27" ref="U90:U104">Q90+R90</f>
        <v>3700</v>
      </c>
      <c r="V90" s="169">
        <f aca="true" t="shared" si="28" ref="V90:V104">U90+T90</f>
        <v>3700</v>
      </c>
      <c r="W90" s="185">
        <f>2/2*385755*0+3/3*599745*0+4/4*877850*0+5/5*1124550*0+6/6*1812370+7/7*245565+9/9*325415+10/10*160470+11/11*164240+12/12*(821123-610000)</f>
        <v>2919183</v>
      </c>
    </row>
    <row r="91" spans="1:23" ht="12.75">
      <c r="A91" s="9"/>
      <c r="B91" s="2"/>
      <c r="C91" s="28"/>
      <c r="D91" s="80"/>
      <c r="E91" s="74"/>
      <c r="F91" s="74"/>
      <c r="G91" s="74"/>
      <c r="H91" s="70">
        <f t="shared" si="25"/>
        <v>0</v>
      </c>
      <c r="I91" s="169">
        <f t="shared" si="11"/>
        <v>0</v>
      </c>
      <c r="J91" s="177"/>
      <c r="K91" s="212"/>
      <c r="L91" s="215"/>
      <c r="M91" s="9"/>
      <c r="N91" s="168">
        <f>L91+M91</f>
        <v>0</v>
      </c>
      <c r="O91" s="38"/>
      <c r="P91" s="47" t="s">
        <v>97</v>
      </c>
      <c r="Q91" s="75">
        <v>4100</v>
      </c>
      <c r="R91" s="76"/>
      <c r="S91" s="76"/>
      <c r="T91" s="76"/>
      <c r="U91" s="74">
        <f t="shared" si="27"/>
        <v>4100</v>
      </c>
      <c r="V91" s="169">
        <f t="shared" si="28"/>
        <v>4100</v>
      </c>
      <c r="W91" s="185">
        <f>4/4*25810.46+7/7*3136133+9/9*117730+10/10*45626+11/11*21761+12/12*1680376.85</f>
        <v>5027437.3100000005</v>
      </c>
    </row>
    <row r="92" spans="1:23" ht="12.75" hidden="1">
      <c r="A92" s="4"/>
      <c r="B92" s="2"/>
      <c r="C92" s="28"/>
      <c r="D92" s="80"/>
      <c r="E92" s="74"/>
      <c r="F92" s="74"/>
      <c r="G92" s="74"/>
      <c r="H92" s="70">
        <f t="shared" si="25"/>
        <v>0</v>
      </c>
      <c r="I92" s="169">
        <f t="shared" si="11"/>
        <v>0</v>
      </c>
      <c r="J92" s="177"/>
      <c r="K92" s="212"/>
      <c r="L92" s="215"/>
      <c r="M92" s="9"/>
      <c r="N92" s="168">
        <f>L92+M92</f>
        <v>0</v>
      </c>
      <c r="O92" s="38"/>
      <c r="P92" s="47" t="s">
        <v>98</v>
      </c>
      <c r="Q92" s="75"/>
      <c r="R92" s="76"/>
      <c r="S92" s="76"/>
      <c r="T92" s="76"/>
      <c r="U92" s="74">
        <f t="shared" si="27"/>
        <v>0</v>
      </c>
      <c r="V92" s="169">
        <f t="shared" si="28"/>
        <v>0</v>
      </c>
      <c r="W92" s="185"/>
    </row>
    <row r="93" spans="1:23" ht="12.75">
      <c r="A93" s="9"/>
      <c r="B93" s="2"/>
      <c r="C93" s="28"/>
      <c r="D93" s="80"/>
      <c r="E93" s="74"/>
      <c r="F93" s="74"/>
      <c r="G93" s="74"/>
      <c r="H93" s="70">
        <f t="shared" si="25"/>
        <v>0</v>
      </c>
      <c r="I93" s="169">
        <f t="shared" si="11"/>
        <v>0</v>
      </c>
      <c r="J93" s="177"/>
      <c r="K93" s="212"/>
      <c r="L93" s="215"/>
      <c r="M93" s="9"/>
      <c r="N93" s="168">
        <f>L93+M93</f>
        <v>0</v>
      </c>
      <c r="O93" s="38"/>
      <c r="P93" s="48" t="s">
        <v>170</v>
      </c>
      <c r="Q93" s="75">
        <f>2007/2007*977*0+1010-3111/3111*Q20-3113/3113*Q26</f>
        <v>0</v>
      </c>
      <c r="R93" s="76"/>
      <c r="S93" s="76"/>
      <c r="T93" s="76"/>
      <c r="U93" s="74">
        <f t="shared" si="27"/>
        <v>0</v>
      </c>
      <c r="V93" s="169">
        <f t="shared" si="28"/>
        <v>0</v>
      </c>
      <c r="W93" s="185">
        <f>(2/2*1726000*0+3/3*2589000*0+4/4*3452000*0+5/5*4315000*0+6/6*5178000*0+7/7*6041000*0+9/9*7767000*0+10/10*8630000*0+11/11*9493000*0+12/12*10358000)-(W20+W26+W71)</f>
        <v>0</v>
      </c>
    </row>
    <row r="94" spans="1:23" ht="12.75">
      <c r="A94" s="9"/>
      <c r="B94" s="2"/>
      <c r="C94" s="28"/>
      <c r="D94" s="80"/>
      <c r="E94" s="74"/>
      <c r="F94" s="74"/>
      <c r="G94" s="74"/>
      <c r="H94" s="70">
        <f t="shared" si="25"/>
        <v>0</v>
      </c>
      <c r="I94" s="169">
        <f t="shared" si="11"/>
        <v>0</v>
      </c>
      <c r="J94" s="177"/>
      <c r="K94" s="212"/>
      <c r="L94" s="215"/>
      <c r="M94" s="9"/>
      <c r="N94" s="168">
        <f aca="true" t="shared" si="29" ref="N94:N105">L94+M94</f>
        <v>0</v>
      </c>
      <c r="O94" s="38"/>
      <c r="P94" s="48" t="s">
        <v>171</v>
      </c>
      <c r="Q94" s="75">
        <f>2007/2007*8916*0+9348-9/9*Q71</f>
        <v>0</v>
      </c>
      <c r="R94" s="76"/>
      <c r="S94" s="76"/>
      <c r="T94" s="76"/>
      <c r="U94" s="74">
        <f t="shared" si="27"/>
        <v>0</v>
      </c>
      <c r="V94" s="169">
        <f t="shared" si="28"/>
        <v>0</v>
      </c>
      <c r="W94" s="185">
        <f>(2/2*1726000*0+3/3*2589000*0+4/4*3452000*0+5/5*4315000*0+6/6*5178000*0+7/7*6041000*0+9/9*7767000*0+10/10*863000*0+11/11*9493000*0+12/12*10358000)-(W20+W26+W71)</f>
        <v>0</v>
      </c>
    </row>
    <row r="95" spans="1:23" ht="12.75" hidden="1">
      <c r="A95" s="9"/>
      <c r="B95" s="2"/>
      <c r="C95" s="28"/>
      <c r="D95" s="80"/>
      <c r="E95" s="74"/>
      <c r="F95" s="74"/>
      <c r="G95" s="74"/>
      <c r="H95" s="70"/>
      <c r="I95" s="169"/>
      <c r="J95" s="177"/>
      <c r="K95" s="212"/>
      <c r="L95" s="215"/>
      <c r="M95" s="9"/>
      <c r="N95" s="168"/>
      <c r="O95" s="38"/>
      <c r="P95" s="48"/>
      <c r="Q95" s="75"/>
      <c r="R95" s="76"/>
      <c r="S95" s="76"/>
      <c r="T95" s="76"/>
      <c r="U95" s="74"/>
      <c r="V95" s="169"/>
      <c r="W95" s="185"/>
    </row>
    <row r="96" spans="1:23" ht="12.75">
      <c r="A96" s="9"/>
      <c r="B96" s="2"/>
      <c r="C96" s="28"/>
      <c r="D96" s="80"/>
      <c r="E96" s="74"/>
      <c r="F96" s="74"/>
      <c r="G96" s="74"/>
      <c r="H96" s="70">
        <f>D96+E96</f>
        <v>0</v>
      </c>
      <c r="I96" s="169">
        <f aca="true" t="shared" si="30" ref="I96:I105">H96+F96</f>
        <v>0</v>
      </c>
      <c r="J96" s="177"/>
      <c r="K96" s="212"/>
      <c r="L96" s="215"/>
      <c r="M96" s="9"/>
      <c r="N96" s="168">
        <f t="shared" si="29"/>
        <v>0</v>
      </c>
      <c r="O96" s="38"/>
      <c r="P96" s="47" t="s">
        <v>99</v>
      </c>
      <c r="Q96" s="75">
        <f>2007/2007*24972*0+27518</f>
        <v>27518</v>
      </c>
      <c r="R96" s="76"/>
      <c r="S96" s="76"/>
      <c r="T96" s="76"/>
      <c r="U96" s="74">
        <f t="shared" si="27"/>
        <v>27518</v>
      </c>
      <c r="V96" s="169">
        <f t="shared" si="28"/>
        <v>27518</v>
      </c>
      <c r="W96" s="185">
        <f>2/2*4586000*0+9/9*2293000*12+2000</f>
        <v>27518000</v>
      </c>
    </row>
    <row r="97" spans="1:23" ht="12.75">
      <c r="A97" s="9"/>
      <c r="B97" s="2"/>
      <c r="C97" s="28"/>
      <c r="D97" s="80"/>
      <c r="E97" s="74"/>
      <c r="F97" s="74"/>
      <c r="G97" s="74"/>
      <c r="H97" s="70">
        <f>D97+E97</f>
        <v>0</v>
      </c>
      <c r="I97" s="169">
        <f t="shared" si="30"/>
        <v>0</v>
      </c>
      <c r="J97" s="177"/>
      <c r="K97" s="212"/>
      <c r="L97" s="215"/>
      <c r="M97" s="9"/>
      <c r="N97" s="168">
        <f t="shared" si="29"/>
        <v>0</v>
      </c>
      <c r="O97" s="38"/>
      <c r="P97" s="47" t="s">
        <v>100</v>
      </c>
      <c r="Q97" s="75">
        <f>2390*0</f>
        <v>0</v>
      </c>
      <c r="R97" s="76">
        <f>4121/4121*(7/7*99/99*1411.5+11/11*92/92*64.8)</f>
        <v>1476.3</v>
      </c>
      <c r="S97" s="76"/>
      <c r="T97" s="76"/>
      <c r="U97" s="74">
        <f t="shared" si="27"/>
        <v>1476.3</v>
      </c>
      <c r="V97" s="169">
        <f t="shared" si="28"/>
        <v>1476.3</v>
      </c>
      <c r="W97" s="185">
        <f>9/9*99/99*1411453.58+11/11*92/92*64782.72</f>
        <v>1476236.3</v>
      </c>
    </row>
    <row r="98" spans="1:23" ht="12.75" hidden="1">
      <c r="A98" s="9"/>
      <c r="B98" s="2"/>
      <c r="C98" s="28"/>
      <c r="D98" s="80"/>
      <c r="E98" s="74"/>
      <c r="F98" s="74"/>
      <c r="G98" s="74"/>
      <c r="H98" s="70"/>
      <c r="I98" s="169"/>
      <c r="J98" s="177"/>
      <c r="K98" s="212"/>
      <c r="L98" s="215"/>
      <c r="M98" s="9"/>
      <c r="N98" s="168"/>
      <c r="O98" s="38"/>
      <c r="P98" s="47"/>
      <c r="Q98" s="75"/>
      <c r="R98" s="76"/>
      <c r="S98" s="76"/>
      <c r="T98" s="76"/>
      <c r="U98" s="74"/>
      <c r="V98" s="169"/>
      <c r="W98" s="185"/>
    </row>
    <row r="99" spans="1:23" ht="12.75">
      <c r="A99" s="4"/>
      <c r="B99" s="2"/>
      <c r="C99" s="28"/>
      <c r="D99" s="80"/>
      <c r="E99" s="74"/>
      <c r="F99" s="74"/>
      <c r="G99" s="74"/>
      <c r="H99" s="70">
        <f aca="true" t="shared" si="31" ref="H99:H105">D99+E99</f>
        <v>0</v>
      </c>
      <c r="I99" s="169">
        <f t="shared" si="30"/>
        <v>0</v>
      </c>
      <c r="J99" s="177"/>
      <c r="K99" s="212"/>
      <c r="L99" s="215"/>
      <c r="M99" s="9"/>
      <c r="N99" s="168">
        <f t="shared" si="29"/>
        <v>0</v>
      </c>
      <c r="O99" s="38"/>
      <c r="P99" s="47" t="s">
        <v>101</v>
      </c>
      <c r="Q99" s="75">
        <f>2007/2007*(10500+2390)*0+10780+2110*(0+1)</f>
        <v>12890</v>
      </c>
      <c r="R99" s="76"/>
      <c r="S99" s="76"/>
      <c r="T99" s="76">
        <v>1755</v>
      </c>
      <c r="U99" s="74">
        <f t="shared" si="27"/>
        <v>12890</v>
      </c>
      <c r="V99" s="169">
        <f t="shared" si="28"/>
        <v>14645</v>
      </c>
      <c r="W99" s="185">
        <f>2/2*1850000+3/3*2000000+4/4*4300000+5/5*850000+6/6*-150000+7/7*500000+9/9*3050000+10/10*900000+11/11*1450000+12/12*-2000000</f>
        <v>12750000</v>
      </c>
    </row>
    <row r="100" spans="1:23" ht="12.75" hidden="1">
      <c r="A100" s="4"/>
      <c r="B100" s="2"/>
      <c r="C100" s="28"/>
      <c r="D100" s="80"/>
      <c r="E100" s="74"/>
      <c r="F100" s="74"/>
      <c r="G100" s="74"/>
      <c r="H100" s="70">
        <f t="shared" si="31"/>
        <v>0</v>
      </c>
      <c r="I100" s="169">
        <f t="shared" si="30"/>
        <v>0</v>
      </c>
      <c r="J100" s="177"/>
      <c r="K100" s="212"/>
      <c r="L100" s="215"/>
      <c r="M100" s="9"/>
      <c r="N100" s="168">
        <f t="shared" si="29"/>
        <v>0</v>
      </c>
      <c r="O100" s="38"/>
      <c r="P100" s="48" t="s">
        <v>172</v>
      </c>
      <c r="Q100" s="75">
        <f>2110-2110</f>
        <v>0</v>
      </c>
      <c r="R100" s="76"/>
      <c r="S100" s="76"/>
      <c r="T100" s="76"/>
      <c r="U100" s="74">
        <f t="shared" si="27"/>
        <v>0</v>
      </c>
      <c r="V100" s="169">
        <f t="shared" si="28"/>
        <v>0</v>
      </c>
      <c r="W100" s="185"/>
    </row>
    <row r="101" spans="1:23" ht="12.75" hidden="1">
      <c r="A101" s="4"/>
      <c r="B101" s="2"/>
      <c r="C101" s="28"/>
      <c r="D101" s="80"/>
      <c r="E101" s="74"/>
      <c r="F101" s="74"/>
      <c r="G101" s="74"/>
      <c r="H101" s="70">
        <f t="shared" si="31"/>
        <v>0</v>
      </c>
      <c r="I101" s="169">
        <f t="shared" si="30"/>
        <v>0</v>
      </c>
      <c r="J101" s="177"/>
      <c r="K101" s="212"/>
      <c r="L101" s="215"/>
      <c r="M101" s="9"/>
      <c r="N101" s="168">
        <f t="shared" si="29"/>
        <v>0</v>
      </c>
      <c r="O101" s="38"/>
      <c r="P101" s="47" t="s">
        <v>102</v>
      </c>
      <c r="Q101" s="75"/>
      <c r="R101" s="76"/>
      <c r="S101" s="76"/>
      <c r="T101" s="76"/>
      <c r="U101" s="74">
        <f t="shared" si="27"/>
        <v>0</v>
      </c>
      <c r="V101" s="169">
        <f t="shared" si="28"/>
        <v>0</v>
      </c>
      <c r="W101" s="185"/>
    </row>
    <row r="102" spans="1:23" ht="12.75" hidden="1">
      <c r="A102" s="4"/>
      <c r="B102" s="2"/>
      <c r="C102" s="28"/>
      <c r="D102" s="80"/>
      <c r="E102" s="74"/>
      <c r="F102" s="74"/>
      <c r="G102" s="74"/>
      <c r="H102" s="70">
        <f t="shared" si="31"/>
        <v>0</v>
      </c>
      <c r="I102" s="169">
        <f t="shared" si="30"/>
        <v>0</v>
      </c>
      <c r="J102" s="177"/>
      <c r="K102" s="212"/>
      <c r="L102" s="215"/>
      <c r="M102" s="9"/>
      <c r="N102" s="168">
        <f t="shared" si="29"/>
        <v>0</v>
      </c>
      <c r="O102" s="38"/>
      <c r="P102" s="47" t="s">
        <v>103</v>
      </c>
      <c r="Q102" s="75">
        <f>2007/2007*163*0+76-76*(9/9)</f>
        <v>0</v>
      </c>
      <c r="R102" s="76"/>
      <c r="S102" s="76"/>
      <c r="T102" s="76"/>
      <c r="U102" s="74">
        <f t="shared" si="27"/>
        <v>0</v>
      </c>
      <c r="V102" s="169">
        <f t="shared" si="28"/>
        <v>0</v>
      </c>
      <c r="W102" s="185"/>
    </row>
    <row r="103" spans="1:23" ht="12.75" customHeight="1" hidden="1">
      <c r="A103" s="4"/>
      <c r="B103" s="2"/>
      <c r="C103" s="28"/>
      <c r="D103" s="80"/>
      <c r="E103" s="74"/>
      <c r="F103" s="74"/>
      <c r="G103" s="74"/>
      <c r="H103" s="70">
        <f t="shared" si="31"/>
        <v>0</v>
      </c>
      <c r="I103" s="169">
        <f t="shared" si="30"/>
        <v>0</v>
      </c>
      <c r="J103" s="177"/>
      <c r="K103" s="212"/>
      <c r="L103" s="215"/>
      <c r="M103" s="9"/>
      <c r="N103" s="168">
        <f t="shared" si="29"/>
        <v>0</v>
      </c>
      <c r="O103" s="38"/>
      <c r="P103" s="49" t="s">
        <v>173</v>
      </c>
      <c r="Q103" s="75"/>
      <c r="R103" s="76"/>
      <c r="S103" s="76"/>
      <c r="T103" s="76"/>
      <c r="U103" s="74">
        <f t="shared" si="27"/>
        <v>0</v>
      </c>
      <c r="V103" s="169">
        <f t="shared" si="28"/>
        <v>0</v>
      </c>
      <c r="W103" s="185"/>
    </row>
    <row r="104" spans="1:23" ht="12.75" customHeight="1">
      <c r="A104" s="4"/>
      <c r="B104" s="2"/>
      <c r="C104" s="28"/>
      <c r="D104" s="80"/>
      <c r="E104" s="74"/>
      <c r="F104" s="74"/>
      <c r="G104" s="74"/>
      <c r="H104" s="70">
        <f t="shared" si="31"/>
        <v>0</v>
      </c>
      <c r="I104" s="169">
        <f t="shared" si="30"/>
        <v>0</v>
      </c>
      <c r="J104" s="177"/>
      <c r="K104" s="212"/>
      <c r="L104" s="215"/>
      <c r="M104" s="9"/>
      <c r="N104" s="168">
        <f t="shared" si="29"/>
        <v>0</v>
      </c>
      <c r="O104" s="44"/>
      <c r="P104" s="48" t="s">
        <v>174</v>
      </c>
      <c r="Q104" s="75"/>
      <c r="R104" s="76">
        <f>9/9*160.9</f>
        <v>160.9</v>
      </c>
      <c r="S104" s="76"/>
      <c r="T104" s="76"/>
      <c r="U104" s="74">
        <f t="shared" si="27"/>
        <v>160.9</v>
      </c>
      <c r="V104" s="169">
        <f t="shared" si="28"/>
        <v>160.9</v>
      </c>
      <c r="W104" s="185">
        <f>3/3*-1220588+5/5*-2975.5+9/9*-115962.5*0+10/10*1384486.83</f>
        <v>160923.33000000007</v>
      </c>
    </row>
    <row r="105" spans="1:23" ht="12.75" customHeight="1" hidden="1">
      <c r="A105" s="4"/>
      <c r="B105" s="2"/>
      <c r="C105" s="28"/>
      <c r="D105" s="80"/>
      <c r="E105" s="74"/>
      <c r="F105" s="74"/>
      <c r="G105" s="74"/>
      <c r="H105" s="70">
        <f t="shared" si="31"/>
        <v>0</v>
      </c>
      <c r="I105" s="169">
        <f t="shared" si="30"/>
        <v>0</v>
      </c>
      <c r="J105" s="177"/>
      <c r="K105" s="212"/>
      <c r="L105" s="215"/>
      <c r="M105" s="9"/>
      <c r="N105" s="168">
        <f t="shared" si="29"/>
        <v>0</v>
      </c>
      <c r="O105" s="38"/>
      <c r="P105" s="230">
        <f>160923.33</f>
        <v>160923.33</v>
      </c>
      <c r="Q105" s="75"/>
      <c r="R105" s="76"/>
      <c r="S105" s="76"/>
      <c r="T105" s="76"/>
      <c r="U105" s="74"/>
      <c r="V105" s="169">
        <f>U105+T105</f>
        <v>0</v>
      </c>
      <c r="W105" s="185"/>
    </row>
    <row r="106" spans="1:23" ht="12.75" hidden="1">
      <c r="A106" s="4"/>
      <c r="B106" s="2"/>
      <c r="C106" s="28"/>
      <c r="D106" s="80"/>
      <c r="E106" s="74"/>
      <c r="F106" s="74"/>
      <c r="G106" s="74"/>
      <c r="H106" s="74"/>
      <c r="I106" s="213"/>
      <c r="J106" s="177"/>
      <c r="K106" s="212"/>
      <c r="L106" s="215"/>
      <c r="M106" s="219"/>
      <c r="N106" s="219"/>
      <c r="O106" s="38"/>
      <c r="P106" s="47" t="s">
        <v>104</v>
      </c>
      <c r="Q106" s="75"/>
      <c r="R106" s="76"/>
      <c r="S106" s="76"/>
      <c r="T106" s="76"/>
      <c r="U106" s="74">
        <f>Q106+R106</f>
        <v>0</v>
      </c>
      <c r="V106" s="213"/>
      <c r="W106" s="185"/>
    </row>
    <row r="107" spans="1:23" s="104" customFormat="1" ht="13.5" thickBot="1">
      <c r="A107" s="266" t="s">
        <v>127</v>
      </c>
      <c r="B107" s="267"/>
      <c r="C107" s="124"/>
      <c r="D107" s="81">
        <f>SUM(D89:D106)</f>
        <v>0</v>
      </c>
      <c r="E107" s="82">
        <f>SUM(E89:E106)</f>
        <v>0</v>
      </c>
      <c r="F107" s="82">
        <f>SUM(F89:F106)</f>
        <v>0</v>
      </c>
      <c r="G107" s="82"/>
      <c r="H107" s="83">
        <f>D107+E107</f>
        <v>0</v>
      </c>
      <c r="I107" s="82">
        <f aca="true" t="shared" si="32" ref="I107:N107">SUM(I89:I106)</f>
        <v>0</v>
      </c>
      <c r="J107" s="181">
        <f t="shared" si="32"/>
        <v>0</v>
      </c>
      <c r="K107" s="171">
        <f t="shared" si="32"/>
        <v>0</v>
      </c>
      <c r="L107" s="172">
        <f t="shared" si="32"/>
        <v>0</v>
      </c>
      <c r="M107" s="171">
        <f t="shared" si="32"/>
        <v>0</v>
      </c>
      <c r="N107" s="172">
        <f t="shared" si="32"/>
        <v>0</v>
      </c>
      <c r="O107" s="125">
        <f>V107-((9/9)*(76*0)+(10/10)*(50995*0+4/4*(134595-73172-4/4*(333+677)-9/9*9348-2141/2141*146)+7/7*99/99*1411.5+10/10*64.8+2007/2007*160.9+12/12*16/16*1755))</f>
        <v>0</v>
      </c>
      <c r="P107" s="126">
        <f>W107+W150*0-((9/9)*0+(10/10)*((20488622.05-11595759.55)*0+4/4*((51378517.32*0+7/7*98784999.69*0+9/9*129633635.32*0+12/12*174791101.8)-(29820433.13*0+7/7*61741789.59*0+12/12*112205632.75)-4/4*((111000*0+7/7*194000*0+12/12*333000)+(226000*0+7/7*395000*0+12/12*677000))-9/9*(3115000*0+12/12*9348000))-2141/2141*(132.73*0+6/6*265.39*0+9/9*399.44*0+12/12*522.36)))</f>
        <v>0</v>
      </c>
      <c r="Q107" s="81">
        <f>SUM(Q89:Q106)</f>
        <v>50919</v>
      </c>
      <c r="R107" s="82">
        <f>SUM(R89:R106)</f>
        <v>1637.2</v>
      </c>
      <c r="S107" s="82"/>
      <c r="T107" s="82">
        <f>SUM(T89:T106)</f>
        <v>1755</v>
      </c>
      <c r="U107" s="83">
        <f>Q107+R107</f>
        <v>52556.2</v>
      </c>
      <c r="V107" s="82">
        <f>SUM(V89:V106)</f>
        <v>54311.200000000004</v>
      </c>
      <c r="W107" s="238">
        <f>SUM(W89:W106)</f>
        <v>52226946.69</v>
      </c>
    </row>
    <row r="108" spans="1:23" ht="14.25" thickBot="1" thickTop="1">
      <c r="A108" s="17" t="s">
        <v>54</v>
      </c>
      <c r="B108" s="18"/>
      <c r="C108" s="19"/>
      <c r="D108" s="84">
        <f>SUM(D4:D107)/2</f>
        <v>64019</v>
      </c>
      <c r="E108" s="85">
        <f>SUM(E4:E107)/2</f>
        <v>1476.3000000000002</v>
      </c>
      <c r="F108" s="85">
        <f>SUM(F4:F107)/2</f>
        <v>4076</v>
      </c>
      <c r="G108" s="85"/>
      <c r="H108" s="85">
        <f aca="true" t="shared" si="33" ref="H108:N108">SUM(H4:H107)/2</f>
        <v>65495.3</v>
      </c>
      <c r="I108" s="85">
        <f>SUM(I4:I107)/2</f>
        <v>69571.3</v>
      </c>
      <c r="J108" s="239">
        <f t="shared" si="33"/>
        <v>67602774.57999998</v>
      </c>
      <c r="K108" s="240">
        <f t="shared" si="33"/>
        <v>-2374405</v>
      </c>
      <c r="L108" s="240">
        <f t="shared" si="33"/>
        <v>49201074.449999996</v>
      </c>
      <c r="M108" s="240">
        <f t="shared" si="33"/>
        <v>10564379</v>
      </c>
      <c r="N108" s="240">
        <f t="shared" si="33"/>
        <v>59765453.44999999</v>
      </c>
      <c r="O108" s="50"/>
      <c r="P108" s="31" t="s">
        <v>105</v>
      </c>
      <c r="Q108" s="84">
        <f>SUM(Q4:Q107)/2</f>
        <v>64019</v>
      </c>
      <c r="R108" s="85">
        <f>SUM(R4:R107)/2</f>
        <v>1637.2</v>
      </c>
      <c r="S108" s="85"/>
      <c r="T108" s="85">
        <f>SUM(T4:T107)/2</f>
        <v>4076</v>
      </c>
      <c r="U108" s="85">
        <f>SUM(U4:U107)/2</f>
        <v>65656.2</v>
      </c>
      <c r="V108" s="85">
        <f>SUM(V4:V107)/2</f>
        <v>69732.2</v>
      </c>
      <c r="W108" s="188">
        <f>SUM(W4:W107)/2</f>
        <v>68131730.57</v>
      </c>
    </row>
    <row r="109" spans="16:23" ht="14.25" thickBot="1" thickTop="1">
      <c r="P109" s="51" t="s">
        <v>106</v>
      </c>
      <c r="Q109" s="64">
        <f>Q108-D108</f>
        <v>0</v>
      </c>
      <c r="R109" s="64">
        <f>R108-E108</f>
        <v>160.89999999999986</v>
      </c>
      <c r="S109" s="89">
        <f>S108-J108</f>
        <v>-67602774.57999998</v>
      </c>
      <c r="T109" s="64">
        <f>T108-G108</f>
        <v>4076</v>
      </c>
      <c r="U109" s="64">
        <f>U108-H108</f>
        <v>160.89999999999418</v>
      </c>
      <c r="V109" s="64">
        <f>V108-I108</f>
        <v>160.89999999999418</v>
      </c>
      <c r="W109" s="189">
        <f>W108-J108</f>
        <v>528955.9900000095</v>
      </c>
    </row>
    <row r="110" spans="3:23" ht="14.25" thickBot="1" thickTop="1">
      <c r="C110" s="45"/>
      <c r="H110" s="241"/>
      <c r="I110" s="241"/>
      <c r="P110" s="51"/>
      <c r="Q110" s="64"/>
      <c r="R110" s="64"/>
      <c r="S110" s="89"/>
      <c r="U110" s="85"/>
      <c r="V110" s="241"/>
      <c r="W110" s="190"/>
    </row>
    <row r="111" spans="1:23" ht="13.5" thickTop="1">
      <c r="A111" s="35"/>
      <c r="C111" s="35"/>
      <c r="I111" s="86"/>
      <c r="P111" s="51"/>
      <c r="Q111" s="64"/>
      <c r="R111" s="64"/>
      <c r="S111" s="89"/>
      <c r="U111" s="64"/>
      <c r="V111" s="241"/>
      <c r="W111" s="190"/>
    </row>
    <row r="112" spans="1:23" ht="23.25" thickBot="1">
      <c r="A112" s="21" t="s">
        <v>55</v>
      </c>
      <c r="B112" s="21"/>
      <c r="C112" s="22"/>
      <c r="K112" s="205"/>
      <c r="L112" s="205" t="s">
        <v>134</v>
      </c>
      <c r="M112" s="205" t="s">
        <v>175</v>
      </c>
      <c r="N112" s="205" t="s">
        <v>134</v>
      </c>
      <c r="W112" s="191"/>
    </row>
    <row r="113" spans="1:23" ht="14.25" hidden="1" thickBot="1" thickTop="1">
      <c r="A113" s="23"/>
      <c r="B113" s="24"/>
      <c r="C113" s="25"/>
      <c r="D113" s="91"/>
      <c r="E113" s="92"/>
      <c r="F113" s="92"/>
      <c r="G113" s="92"/>
      <c r="H113" s="93">
        <f>D113+E113</f>
        <v>0</v>
      </c>
      <c r="I113" s="139">
        <f>H113+F113</f>
        <v>0</v>
      </c>
      <c r="J113" s="182"/>
      <c r="K113" s="242"/>
      <c r="L113" s="243">
        <f>J113+K113</f>
        <v>0</v>
      </c>
      <c r="M113" s="242"/>
      <c r="N113" s="243">
        <f>L113+M113</f>
        <v>0</v>
      </c>
      <c r="O113" s="53"/>
      <c r="P113" s="54"/>
      <c r="Q113" s="94"/>
      <c r="R113" s="95"/>
      <c r="S113" s="95"/>
      <c r="T113" s="95"/>
      <c r="U113" s="93">
        <f>Q113+R113</f>
        <v>0</v>
      </c>
      <c r="V113" s="139">
        <f>U113+S113</f>
        <v>0</v>
      </c>
      <c r="W113" s="192"/>
    </row>
    <row r="114" spans="1:23" ht="13.5" hidden="1" thickBot="1">
      <c r="A114" s="26"/>
      <c r="B114" s="27"/>
      <c r="C114" s="28"/>
      <c r="D114" s="68"/>
      <c r="E114" s="69"/>
      <c r="F114" s="69"/>
      <c r="G114" s="69"/>
      <c r="H114" s="74">
        <f>D114+E114</f>
        <v>0</v>
      </c>
      <c r="I114" s="169">
        <f>H114+F114</f>
        <v>0</v>
      </c>
      <c r="J114" s="177"/>
      <c r="K114" s="244"/>
      <c r="L114" s="245">
        <f>J114+K114</f>
        <v>0</v>
      </c>
      <c r="M114" s="244">
        <v>462792</v>
      </c>
      <c r="N114" s="245">
        <f>L114+M114</f>
        <v>462792</v>
      </c>
      <c r="O114" s="55"/>
      <c r="P114" s="39"/>
      <c r="Q114" s="75"/>
      <c r="R114" s="76"/>
      <c r="S114" s="76"/>
      <c r="T114" s="76"/>
      <c r="U114" s="74">
        <f>Q114+R114</f>
        <v>0</v>
      </c>
      <c r="V114" s="169">
        <f>U114+T114</f>
        <v>0</v>
      </c>
      <c r="W114" s="185"/>
    </row>
    <row r="115" spans="1:23" ht="13.5" hidden="1" thickBot="1">
      <c r="A115" s="26"/>
      <c r="B115" s="27"/>
      <c r="C115" s="28"/>
      <c r="D115" s="72"/>
      <c r="E115" s="69"/>
      <c r="F115" s="69"/>
      <c r="G115" s="69"/>
      <c r="H115" s="74">
        <f>D115+E115</f>
        <v>0</v>
      </c>
      <c r="I115" s="169">
        <f>H115+F115</f>
        <v>0</v>
      </c>
      <c r="J115" s="177"/>
      <c r="K115" s="246"/>
      <c r="L115" s="168">
        <f>J115+K115</f>
        <v>0</v>
      </c>
      <c r="M115" s="246"/>
      <c r="N115" s="168">
        <f>L115+M115</f>
        <v>0</v>
      </c>
      <c r="O115" s="55"/>
      <c r="P115" s="39"/>
      <c r="Q115" s="75"/>
      <c r="R115" s="76"/>
      <c r="S115" s="76"/>
      <c r="T115" s="76"/>
      <c r="U115" s="74">
        <f>Q115+R115</f>
        <v>0</v>
      </c>
      <c r="V115" s="169">
        <f>U115+T115</f>
        <v>0</v>
      </c>
      <c r="W115" s="185"/>
    </row>
    <row r="116" spans="1:23" ht="13.5" hidden="1" thickBot="1">
      <c r="A116" s="26"/>
      <c r="B116" s="27"/>
      <c r="C116" s="28"/>
      <c r="D116" s="72"/>
      <c r="E116" s="69"/>
      <c r="F116" s="69"/>
      <c r="G116" s="69"/>
      <c r="H116" s="74"/>
      <c r="I116" s="169"/>
      <c r="J116" s="177"/>
      <c r="K116" s="246"/>
      <c r="L116" s="168"/>
      <c r="M116" s="246"/>
      <c r="N116" s="168"/>
      <c r="O116" s="55"/>
      <c r="P116" s="39"/>
      <c r="Q116" s="75"/>
      <c r="R116" s="76"/>
      <c r="S116" s="76"/>
      <c r="T116" s="76"/>
      <c r="U116" s="74"/>
      <c r="V116" s="169"/>
      <c r="W116" s="185"/>
    </row>
    <row r="117" spans="1:23" ht="13.5" hidden="1" thickBot="1">
      <c r="A117" s="26"/>
      <c r="B117" s="27"/>
      <c r="C117" s="28"/>
      <c r="D117" s="72"/>
      <c r="E117" s="69"/>
      <c r="F117" s="69"/>
      <c r="G117" s="69"/>
      <c r="H117" s="74">
        <f aca="true" t="shared" si="34" ref="H117:H130">D117+E117</f>
        <v>0</v>
      </c>
      <c r="I117" s="169">
        <f aca="true" t="shared" si="35" ref="I117:I130">H117+F117</f>
        <v>0</v>
      </c>
      <c r="J117" s="177"/>
      <c r="K117" s="246"/>
      <c r="L117" s="168">
        <f aca="true" t="shared" si="36" ref="L117:L127">J117+K117</f>
        <v>0</v>
      </c>
      <c r="M117" s="246">
        <v>267716.05</v>
      </c>
      <c r="N117" s="168">
        <f aca="true" t="shared" si="37" ref="N117:N130">L117+M117</f>
        <v>267716.05</v>
      </c>
      <c r="O117" s="55"/>
      <c r="P117" s="39"/>
      <c r="Q117" s="75"/>
      <c r="R117" s="76"/>
      <c r="S117" s="76"/>
      <c r="T117" s="76"/>
      <c r="U117" s="74">
        <f aca="true" t="shared" si="38" ref="U117:U130">Q117+R117</f>
        <v>0</v>
      </c>
      <c r="V117" s="169">
        <f aca="true" t="shared" si="39" ref="V117:V130">U117+T117</f>
        <v>0</v>
      </c>
      <c r="W117" s="185"/>
    </row>
    <row r="118" spans="1:23" ht="13.5" hidden="1" thickBot="1">
      <c r="A118" s="26"/>
      <c r="B118" s="27"/>
      <c r="C118" s="28"/>
      <c r="D118" s="72"/>
      <c r="E118" s="69"/>
      <c r="F118" s="69"/>
      <c r="G118" s="69"/>
      <c r="H118" s="74">
        <f t="shared" si="34"/>
        <v>0</v>
      </c>
      <c r="I118" s="169">
        <f t="shared" si="35"/>
        <v>0</v>
      </c>
      <c r="J118" s="177"/>
      <c r="K118" s="246"/>
      <c r="L118" s="168">
        <f t="shared" si="36"/>
        <v>0</v>
      </c>
      <c r="M118" s="246"/>
      <c r="N118" s="168">
        <f t="shared" si="37"/>
        <v>0</v>
      </c>
      <c r="O118" s="55"/>
      <c r="P118" s="39"/>
      <c r="Q118" s="75"/>
      <c r="R118" s="76"/>
      <c r="S118" s="76"/>
      <c r="T118" s="76"/>
      <c r="U118" s="74">
        <f t="shared" si="38"/>
        <v>0</v>
      </c>
      <c r="V118" s="169">
        <f t="shared" si="39"/>
        <v>0</v>
      </c>
      <c r="W118" s="185"/>
    </row>
    <row r="119" spans="1:23" ht="13.5" hidden="1" thickBot="1">
      <c r="A119" s="26"/>
      <c r="B119" s="27"/>
      <c r="C119" s="28"/>
      <c r="D119" s="72"/>
      <c r="E119" s="69"/>
      <c r="F119" s="69"/>
      <c r="G119" s="69"/>
      <c r="H119" s="74">
        <f t="shared" si="34"/>
        <v>0</v>
      </c>
      <c r="I119" s="169">
        <f t="shared" si="35"/>
        <v>0</v>
      </c>
      <c r="J119" s="176"/>
      <c r="K119" s="246"/>
      <c r="L119" s="168">
        <f t="shared" si="36"/>
        <v>0</v>
      </c>
      <c r="M119" s="246"/>
      <c r="N119" s="168">
        <f t="shared" si="37"/>
        <v>0</v>
      </c>
      <c r="O119" s="55"/>
      <c r="P119" s="39"/>
      <c r="Q119" s="75"/>
      <c r="R119" s="76"/>
      <c r="S119" s="76"/>
      <c r="T119" s="76"/>
      <c r="U119" s="74">
        <f t="shared" si="38"/>
        <v>0</v>
      </c>
      <c r="V119" s="169">
        <f t="shared" si="39"/>
        <v>0</v>
      </c>
      <c r="W119" s="185"/>
    </row>
    <row r="120" spans="1:23" ht="13.5" hidden="1" thickBot="1">
      <c r="A120" s="127"/>
      <c r="B120" s="128"/>
      <c r="C120" s="129"/>
      <c r="D120" s="130"/>
      <c r="E120" s="131"/>
      <c r="F120" s="131"/>
      <c r="G120" s="131"/>
      <c r="H120" s="132">
        <f t="shared" si="34"/>
        <v>0</v>
      </c>
      <c r="I120" s="247">
        <f t="shared" si="35"/>
        <v>0</v>
      </c>
      <c r="J120" s="176"/>
      <c r="K120" s="244"/>
      <c r="L120" s="34">
        <f t="shared" si="36"/>
        <v>0</v>
      </c>
      <c r="M120" s="244">
        <v>0</v>
      </c>
      <c r="N120" s="34">
        <f t="shared" si="37"/>
        <v>0</v>
      </c>
      <c r="O120" s="133"/>
      <c r="P120" s="134"/>
      <c r="Q120" s="135"/>
      <c r="R120" s="136"/>
      <c r="S120" s="136"/>
      <c r="T120" s="136"/>
      <c r="U120" s="132">
        <f t="shared" si="38"/>
        <v>0</v>
      </c>
      <c r="V120" s="247">
        <f t="shared" si="39"/>
        <v>0</v>
      </c>
      <c r="W120" s="193"/>
    </row>
    <row r="121" spans="1:23" ht="13.5" thickTop="1">
      <c r="A121" s="23" t="s">
        <v>57</v>
      </c>
      <c r="B121" s="137" t="s">
        <v>58</v>
      </c>
      <c r="C121" s="138" t="s">
        <v>1</v>
      </c>
      <c r="D121" s="91"/>
      <c r="E121" s="92">
        <f>2/2*3600</f>
        <v>3600</v>
      </c>
      <c r="F121" s="92"/>
      <c r="G121" s="92"/>
      <c r="H121" s="139">
        <f t="shared" si="34"/>
        <v>3600</v>
      </c>
      <c r="I121" s="248">
        <f t="shared" si="35"/>
        <v>3600</v>
      </c>
      <c r="J121" s="182">
        <f>2/2*300000+3/3*300000+4/4*300000+5/5*300000+6/6*300000+7/7*300000+8/8*300000+9/9*600000+10/10*300000+12/12*600000</f>
        <v>3600000</v>
      </c>
      <c r="K121" s="242"/>
      <c r="L121" s="243">
        <f t="shared" si="36"/>
        <v>3600000</v>
      </c>
      <c r="M121" s="242">
        <v>412500</v>
      </c>
      <c r="N121" s="243">
        <f t="shared" si="37"/>
        <v>4012500</v>
      </c>
      <c r="O121" s="140" t="s">
        <v>107</v>
      </c>
      <c r="P121" s="54"/>
      <c r="Q121" s="94"/>
      <c r="R121" s="92">
        <f>2/2*3600</f>
        <v>3600</v>
      </c>
      <c r="S121" s="95"/>
      <c r="T121" s="95"/>
      <c r="U121" s="139">
        <f t="shared" si="38"/>
        <v>3600</v>
      </c>
      <c r="V121" s="248">
        <f t="shared" si="39"/>
        <v>3600</v>
      </c>
      <c r="W121" s="194">
        <f>2/2*3600000</f>
        <v>3600000</v>
      </c>
    </row>
    <row r="122" spans="1:23" ht="12.75">
      <c r="A122" s="26" t="s">
        <v>57</v>
      </c>
      <c r="B122" s="6" t="s">
        <v>59</v>
      </c>
      <c r="C122" s="3" t="s">
        <v>14</v>
      </c>
      <c r="D122" s="72"/>
      <c r="E122" s="69">
        <f>3/3*70</f>
        <v>70</v>
      </c>
      <c r="F122" s="69"/>
      <c r="G122" s="69"/>
      <c r="H122" s="74">
        <f t="shared" si="34"/>
        <v>70</v>
      </c>
      <c r="I122" s="169">
        <f t="shared" si="35"/>
        <v>70</v>
      </c>
      <c r="J122" s="177">
        <f>4/4*3000*0+6/6*30400+7/7*7000+10/10*700+11/11*24000+12/12*7900</f>
        <v>70000</v>
      </c>
      <c r="K122" s="246"/>
      <c r="L122" s="168">
        <f t="shared" si="36"/>
        <v>70000</v>
      </c>
      <c r="M122" s="246">
        <v>56350</v>
      </c>
      <c r="N122" s="168">
        <f t="shared" si="37"/>
        <v>126350</v>
      </c>
      <c r="O122" s="55" t="s">
        <v>107</v>
      </c>
      <c r="P122" s="42" t="s">
        <v>81</v>
      </c>
      <c r="Q122" s="75"/>
      <c r="R122" s="76">
        <f>3/3*70</f>
        <v>70</v>
      </c>
      <c r="S122" s="76"/>
      <c r="T122" s="76"/>
      <c r="U122" s="74">
        <f t="shared" si="38"/>
        <v>70</v>
      </c>
      <c r="V122" s="169">
        <f t="shared" si="39"/>
        <v>70</v>
      </c>
      <c r="W122" s="185">
        <f>3/3*70000</f>
        <v>70000</v>
      </c>
    </row>
    <row r="123" spans="1:23" ht="12.75">
      <c r="A123" s="26" t="s">
        <v>60</v>
      </c>
      <c r="B123" s="7" t="s">
        <v>15</v>
      </c>
      <c r="C123" s="28" t="s">
        <v>16</v>
      </c>
      <c r="D123" s="72"/>
      <c r="E123" s="69">
        <f>1/1*6600+11/11*-1000</f>
        <v>5600</v>
      </c>
      <c r="F123" s="69"/>
      <c r="G123" s="69"/>
      <c r="H123" s="74">
        <f t="shared" si="34"/>
        <v>5600</v>
      </c>
      <c r="I123" s="169">
        <f t="shared" si="35"/>
        <v>5600</v>
      </c>
      <c r="J123" s="177">
        <f>2/2*1103227*0+3/3*(6624168-4714000)*0+4/4*(8644834-6448000)*0+5/5*(10761129-8365000)*0+6/6*(12487082-9880000)*0+7/7*(14453812-11732000)*0+8/8*(16913026-13816000)*0+9/9*(18841592-15462000)*0+10/10*(20742159-17250000)*0+11/11*(20742159-18606000)+12/12*278910+1479802</f>
        <v>3894871</v>
      </c>
      <c r="K123" s="246"/>
      <c r="L123" s="168">
        <f t="shared" si="36"/>
        <v>3894871</v>
      </c>
      <c r="M123" s="246">
        <f>2*250000</f>
        <v>500000</v>
      </c>
      <c r="N123" s="168">
        <f t="shared" si="37"/>
        <v>4394871</v>
      </c>
      <c r="O123" s="55">
        <f>J123/(H123*1000)</f>
        <v>0.6955126785714286</v>
      </c>
      <c r="P123" s="42" t="s">
        <v>83</v>
      </c>
      <c r="Q123" s="75"/>
      <c r="R123" s="69">
        <f>1/1*6600+11/11*-1000</f>
        <v>5600</v>
      </c>
      <c r="S123" s="76"/>
      <c r="T123" s="76"/>
      <c r="U123" s="74">
        <f t="shared" si="38"/>
        <v>5600</v>
      </c>
      <c r="V123" s="169">
        <f t="shared" si="39"/>
        <v>5600</v>
      </c>
      <c r="W123" s="187">
        <f>2/2*4000000+10/10*500000</f>
        <v>4500000</v>
      </c>
    </row>
    <row r="124" spans="1:23" ht="12.75">
      <c r="A124" s="26" t="s">
        <v>61</v>
      </c>
      <c r="B124" s="7">
        <v>4195</v>
      </c>
      <c r="C124" s="28" t="s">
        <v>17</v>
      </c>
      <c r="D124" s="72"/>
      <c r="E124" s="69">
        <f>1/1*12717+6/6*2500+8/8*163+9/9*8529+12/12*-2459</f>
        <v>21450</v>
      </c>
      <c r="F124" s="69"/>
      <c r="G124" s="69"/>
      <c r="H124" s="74">
        <f t="shared" si="34"/>
        <v>21450</v>
      </c>
      <c r="I124" s="169">
        <f t="shared" si="35"/>
        <v>21450</v>
      </c>
      <c r="J124" s="177">
        <f>2/2*2917000*0+3/3*4714000*0+4/4*6448000*0+5/5*8365000*0+6/6*9880000*0+7/7*11732000*0+8/8*13816000*0+9/9*15462000*0+10/10*17250000*0+11/11*18606000+12/12*1568000</f>
        <v>20174000</v>
      </c>
      <c r="K124" s="246"/>
      <c r="L124" s="168">
        <f t="shared" si="36"/>
        <v>20174000</v>
      </c>
      <c r="M124" s="246">
        <f>L124/10*2-2380800+2*1300000</f>
        <v>4254000</v>
      </c>
      <c r="N124" s="168">
        <f t="shared" si="37"/>
        <v>24428000</v>
      </c>
      <c r="O124" s="55">
        <f>J124/(H124*1000)</f>
        <v>0.9405128205128205</v>
      </c>
      <c r="P124" s="42" t="s">
        <v>84</v>
      </c>
      <c r="Q124" s="75"/>
      <c r="R124" s="69">
        <f>1/1*12717+6/6*2500+9/9*(8/8*163+8529)+12/12*-2459</f>
        <v>21450</v>
      </c>
      <c r="S124" s="76"/>
      <c r="T124" s="76"/>
      <c r="U124" s="74">
        <f t="shared" si="38"/>
        <v>21450</v>
      </c>
      <c r="V124" s="169">
        <f t="shared" si="39"/>
        <v>21450</v>
      </c>
      <c r="W124" s="187">
        <f>2/2*8200000+5/5*914000+6/6*2334000+7/7*1908000+9/9*(8/8*0+4576000)+10/10*1884000+11/11*646000+12/12*988000</f>
        <v>21450000</v>
      </c>
    </row>
    <row r="125" spans="1:23" ht="12.75">
      <c r="A125" s="26" t="s">
        <v>57</v>
      </c>
      <c r="B125" s="2" t="s">
        <v>62</v>
      </c>
      <c r="C125" s="28" t="s">
        <v>63</v>
      </c>
      <c r="D125" s="72"/>
      <c r="E125" s="69">
        <f>3/3*35</f>
        <v>35</v>
      </c>
      <c r="F125" s="69"/>
      <c r="G125" s="69"/>
      <c r="H125" s="74">
        <f t="shared" si="34"/>
        <v>35</v>
      </c>
      <c r="I125" s="169">
        <f t="shared" si="35"/>
        <v>35</v>
      </c>
      <c r="J125" s="177">
        <f>3/3*35000</f>
        <v>35000</v>
      </c>
      <c r="K125" s="246"/>
      <c r="L125" s="168">
        <f t="shared" si="36"/>
        <v>35000</v>
      </c>
      <c r="M125" s="246"/>
      <c r="N125" s="168">
        <f t="shared" si="37"/>
        <v>35000</v>
      </c>
      <c r="O125" s="55" t="s">
        <v>107</v>
      </c>
      <c r="P125" s="56">
        <f>J123+J124-14769488</f>
        <v>9299383</v>
      </c>
      <c r="Q125" s="75"/>
      <c r="R125" s="76">
        <f>3/3*35</f>
        <v>35</v>
      </c>
      <c r="S125" s="76"/>
      <c r="T125" s="76"/>
      <c r="U125" s="74">
        <f t="shared" si="38"/>
        <v>35</v>
      </c>
      <c r="V125" s="169">
        <f t="shared" si="39"/>
        <v>35</v>
      </c>
      <c r="W125" s="185">
        <f>3/3*35000</f>
        <v>35000</v>
      </c>
    </row>
    <row r="126" spans="1:23" ht="12.75">
      <c r="A126" s="26" t="s">
        <v>64</v>
      </c>
      <c r="B126" s="2">
        <v>6171</v>
      </c>
      <c r="C126" s="28" t="s">
        <v>65</v>
      </c>
      <c r="D126" s="72"/>
      <c r="E126" s="69">
        <f>324.5+4/4*348.3+7/7*348.3+10/10*348.3</f>
        <v>1369.3999999999999</v>
      </c>
      <c r="F126" s="69"/>
      <c r="G126" s="69"/>
      <c r="H126" s="74">
        <f t="shared" si="34"/>
        <v>1369.3999999999999</v>
      </c>
      <c r="I126" s="169">
        <f t="shared" si="35"/>
        <v>1369.3999999999999</v>
      </c>
      <c r="J126" s="177">
        <f>(1123930+102660+295374)+732/732*(1447.28+15720.26+27171.76+6384.24+4872.99)+6171/6171*(72207.67+28543.8+11290+71235.44+14828)</f>
        <v>1775665.44</v>
      </c>
      <c r="K126" s="246"/>
      <c r="L126" s="168">
        <f t="shared" si="36"/>
        <v>1775665.44</v>
      </c>
      <c r="M126" s="246">
        <v>339963</v>
      </c>
      <c r="N126" s="168">
        <f t="shared" si="37"/>
        <v>2115628.44</v>
      </c>
      <c r="O126" s="38" t="s">
        <v>108</v>
      </c>
      <c r="P126" s="56">
        <f>H123+H124-27483.5</f>
        <v>-433.5</v>
      </c>
      <c r="Q126" s="75"/>
      <c r="R126" s="69">
        <f>324.5+348.3+7/7*348.3+10/10*348.3</f>
        <v>1369.3999999999999</v>
      </c>
      <c r="S126" s="76"/>
      <c r="T126" s="76"/>
      <c r="U126" s="74">
        <f t="shared" si="38"/>
        <v>1369.3999999999999</v>
      </c>
      <c r="V126" s="169">
        <f t="shared" si="39"/>
        <v>1369.3999999999999</v>
      </c>
      <c r="W126" s="185">
        <f>3/3*324472+4/4*348308+7/7*348308+10/10*348308</f>
        <v>1369396</v>
      </c>
    </row>
    <row r="127" spans="1:23" ht="12.75">
      <c r="A127" s="26" t="s">
        <v>66</v>
      </c>
      <c r="B127" s="2">
        <v>6171</v>
      </c>
      <c r="C127" s="28" t="s">
        <v>67</v>
      </c>
      <c r="D127" s="72"/>
      <c r="E127" s="69">
        <f>216.7</f>
        <v>216.7</v>
      </c>
      <c r="F127" s="69"/>
      <c r="G127" s="69"/>
      <c r="H127" s="74">
        <f t="shared" si="34"/>
        <v>216.7</v>
      </c>
      <c r="I127" s="169">
        <f t="shared" si="35"/>
        <v>216.7</v>
      </c>
      <c r="J127" s="177">
        <f>216670</f>
        <v>216670</v>
      </c>
      <c r="K127" s="246"/>
      <c r="L127" s="168">
        <f t="shared" si="36"/>
        <v>216670</v>
      </c>
      <c r="M127" s="246"/>
      <c r="N127" s="168">
        <f t="shared" si="37"/>
        <v>216670</v>
      </c>
      <c r="O127" s="38" t="s">
        <v>108</v>
      </c>
      <c r="P127" s="39"/>
      <c r="Q127" s="75"/>
      <c r="R127" s="69">
        <f>216.7</f>
        <v>216.7</v>
      </c>
      <c r="S127" s="76"/>
      <c r="T127" s="76"/>
      <c r="U127" s="74">
        <f t="shared" si="38"/>
        <v>216.7</v>
      </c>
      <c r="V127" s="169">
        <f t="shared" si="39"/>
        <v>216.7</v>
      </c>
      <c r="W127" s="185">
        <f>3/3*216670</f>
        <v>216670</v>
      </c>
    </row>
    <row r="128" spans="1:23" ht="12.75">
      <c r="A128" s="26" t="s">
        <v>176</v>
      </c>
      <c r="B128" s="27" t="s">
        <v>77</v>
      </c>
      <c r="C128" s="28" t="s">
        <v>177</v>
      </c>
      <c r="D128" s="72"/>
      <c r="E128" s="69">
        <f>5/5*336.9</f>
        <v>336.9</v>
      </c>
      <c r="F128" s="69"/>
      <c r="G128" s="69"/>
      <c r="H128" s="74">
        <f t="shared" si="34"/>
        <v>336.9</v>
      </c>
      <c r="I128" s="169">
        <f t="shared" si="35"/>
        <v>336.9</v>
      </c>
      <c r="J128" s="176">
        <f>8/8*394906.9-16/16*57994.9</f>
        <v>336912</v>
      </c>
      <c r="K128" s="246"/>
      <c r="L128" s="168">
        <f>J128+K128</f>
        <v>336912</v>
      </c>
      <c r="M128" s="246"/>
      <c r="N128" s="168">
        <f t="shared" si="37"/>
        <v>336912</v>
      </c>
      <c r="O128" s="55"/>
      <c r="P128" s="39"/>
      <c r="Q128" s="75"/>
      <c r="R128" s="76"/>
      <c r="S128" s="76"/>
      <c r="T128" s="76"/>
      <c r="U128" s="74">
        <f t="shared" si="38"/>
        <v>0</v>
      </c>
      <c r="V128" s="169">
        <f t="shared" si="39"/>
        <v>0</v>
      </c>
      <c r="W128" s="185"/>
    </row>
    <row r="129" spans="1:23" ht="12.75">
      <c r="A129" s="26" t="s">
        <v>178</v>
      </c>
      <c r="B129" s="27" t="s">
        <v>179</v>
      </c>
      <c r="C129" s="28" t="s">
        <v>180</v>
      </c>
      <c r="D129" s="72"/>
      <c r="E129" s="69">
        <f>5/5*150.8</f>
        <v>150.8</v>
      </c>
      <c r="F129" s="69"/>
      <c r="G129" s="69"/>
      <c r="H129" s="74">
        <f t="shared" si="34"/>
        <v>150.8</v>
      </c>
      <c r="I129" s="169">
        <f t="shared" si="35"/>
        <v>150.8</v>
      </c>
      <c r="J129" s="177">
        <f>2007/2007*150817.5*0+4/4*122723.5+12/12*28094</f>
        <v>150817.5</v>
      </c>
      <c r="K129" s="246"/>
      <c r="L129" s="168">
        <f>J129+K129</f>
        <v>150817.5</v>
      </c>
      <c r="M129" s="246">
        <v>3104.5</v>
      </c>
      <c r="N129" s="168">
        <f t="shared" si="37"/>
        <v>153922</v>
      </c>
      <c r="O129" s="55"/>
      <c r="P129" s="39"/>
      <c r="Q129" s="75"/>
      <c r="R129" s="76"/>
      <c r="S129" s="76"/>
      <c r="T129" s="76"/>
      <c r="U129" s="74">
        <f t="shared" si="38"/>
        <v>0</v>
      </c>
      <c r="V129" s="169">
        <f t="shared" si="39"/>
        <v>0</v>
      </c>
      <c r="W129" s="185"/>
    </row>
    <row r="130" spans="1:23" ht="12.75">
      <c r="A130" s="26" t="s">
        <v>181</v>
      </c>
      <c r="B130" s="27" t="s">
        <v>77</v>
      </c>
      <c r="C130" s="28" t="s">
        <v>182</v>
      </c>
      <c r="D130" s="72"/>
      <c r="E130" s="69">
        <f>5/5*1500+11/11*1000</f>
        <v>2500</v>
      </c>
      <c r="F130" s="69"/>
      <c r="G130" s="69"/>
      <c r="H130" s="74">
        <f t="shared" si="34"/>
        <v>2500</v>
      </c>
      <c r="I130" s="169">
        <f t="shared" si="35"/>
        <v>2500</v>
      </c>
      <c r="J130" s="177">
        <f>6/6*31000+7/7*275000+9/9*683586+10/10*16/16*99/99*-11500+11/11*1393748+12/12*165970-16/16*37804</f>
        <v>2500000</v>
      </c>
      <c r="K130" s="246"/>
      <c r="L130" s="168">
        <f>J130+K130</f>
        <v>2500000</v>
      </c>
      <c r="M130" s="246">
        <v>150000</v>
      </c>
      <c r="N130" s="168">
        <f t="shared" si="37"/>
        <v>2650000</v>
      </c>
      <c r="O130" s="57" t="s">
        <v>107</v>
      </c>
      <c r="P130" s="39"/>
      <c r="Q130" s="75"/>
      <c r="R130" s="69">
        <f>5/5*1500+11/11*1000</f>
        <v>2500</v>
      </c>
      <c r="S130" s="76"/>
      <c r="T130" s="76"/>
      <c r="U130" s="74">
        <f t="shared" si="38"/>
        <v>2500</v>
      </c>
      <c r="V130" s="169">
        <f t="shared" si="39"/>
        <v>2500</v>
      </c>
      <c r="W130" s="185">
        <f>6/6*1500000+11/11*1000000</f>
        <v>2500000</v>
      </c>
    </row>
    <row r="131" spans="1:23" ht="12.75" hidden="1">
      <c r="A131" s="26"/>
      <c r="B131" s="2"/>
      <c r="C131" s="28"/>
      <c r="D131" s="72"/>
      <c r="E131" s="69"/>
      <c r="F131" s="69"/>
      <c r="G131" s="69"/>
      <c r="H131" s="74"/>
      <c r="I131" s="169"/>
      <c r="J131" s="177"/>
      <c r="K131" s="246"/>
      <c r="L131" s="168"/>
      <c r="M131" s="246"/>
      <c r="N131" s="168"/>
      <c r="O131" s="55"/>
      <c r="P131" s="39"/>
      <c r="Q131" s="75"/>
      <c r="R131" s="69"/>
      <c r="S131" s="76"/>
      <c r="T131" s="76"/>
      <c r="U131" s="74"/>
      <c r="V131" s="169"/>
      <c r="W131" s="185"/>
    </row>
    <row r="132" spans="1:23" ht="12.75">
      <c r="A132" s="26" t="s">
        <v>57</v>
      </c>
      <c r="B132" s="2" t="s">
        <v>68</v>
      </c>
      <c r="C132" s="28" t="s">
        <v>69</v>
      </c>
      <c r="D132" s="72"/>
      <c r="E132" s="69">
        <f>3/3*(40.6*0+40.5)</f>
        <v>40.5</v>
      </c>
      <c r="F132" s="69"/>
      <c r="G132" s="69"/>
      <c r="H132" s="74">
        <f>D132+E132</f>
        <v>40.5</v>
      </c>
      <c r="I132" s="169">
        <f>H132+F132</f>
        <v>40.5</v>
      </c>
      <c r="J132" s="177">
        <f>3/3*40550</f>
        <v>40550</v>
      </c>
      <c r="K132" s="123"/>
      <c r="L132" s="168">
        <f>J132+K132</f>
        <v>40550</v>
      </c>
      <c r="M132" s="246"/>
      <c r="N132" s="168">
        <f>L132+M132</f>
        <v>40550</v>
      </c>
      <c r="O132" s="57" t="s">
        <v>107</v>
      </c>
      <c r="P132" s="39"/>
      <c r="Q132" s="75"/>
      <c r="R132" s="69">
        <f>3/3*(40.6*0+40.5)</f>
        <v>40.5</v>
      </c>
      <c r="S132" s="76"/>
      <c r="T132" s="76"/>
      <c r="U132" s="74">
        <f>Q132+R132</f>
        <v>40.5</v>
      </c>
      <c r="V132" s="169">
        <f>U132+T132</f>
        <v>40.5</v>
      </c>
      <c r="W132" s="185">
        <f>3/3*40550</f>
        <v>40550</v>
      </c>
    </row>
    <row r="133" spans="1:23" ht="12.75" hidden="1">
      <c r="A133" s="26"/>
      <c r="B133" s="2"/>
      <c r="C133" s="28"/>
      <c r="D133" s="72"/>
      <c r="E133" s="69"/>
      <c r="F133" s="69"/>
      <c r="G133" s="69"/>
      <c r="H133" s="74"/>
      <c r="I133" s="169"/>
      <c r="J133" s="177"/>
      <c r="K133" s="123"/>
      <c r="L133" s="168"/>
      <c r="M133" s="246"/>
      <c r="N133" s="168"/>
      <c r="O133" s="55"/>
      <c r="P133" s="39"/>
      <c r="Q133" s="75"/>
      <c r="R133" s="69"/>
      <c r="S133" s="76"/>
      <c r="T133" s="76"/>
      <c r="U133" s="74"/>
      <c r="V133" s="169"/>
      <c r="W133" s="185"/>
    </row>
    <row r="134" spans="1:23" ht="12.75">
      <c r="A134" s="26" t="s">
        <v>183</v>
      </c>
      <c r="B134" s="27" t="s">
        <v>184</v>
      </c>
      <c r="C134" s="28" t="s">
        <v>185</v>
      </c>
      <c r="D134" s="72"/>
      <c r="E134" s="69">
        <f>5/5*7000+10/10*(10000+4750)</f>
        <v>21750</v>
      </c>
      <c r="F134" s="69"/>
      <c r="G134" s="69"/>
      <c r="H134" s="74">
        <f>D134+E134</f>
        <v>21750</v>
      </c>
      <c r="I134" s="169">
        <f>H134+F134</f>
        <v>21750</v>
      </c>
      <c r="J134" s="177">
        <f>3412/3412*663769.2*0+6/6*1011279.2*0+7/7*10559379*0+8/8*15640592.2*0+10/10*20378774.8*0+11/11*(84/84*20388505.8+98858/98858*4750000)+12/12*2560+130714-16/16*(47600+3474179.8)+3421/3421*(70805*0*6/6+10/10*2560*0*12/12*3412/3412)</f>
        <v>21750000</v>
      </c>
      <c r="K134" s="123"/>
      <c r="L134" s="168"/>
      <c r="M134" s="246"/>
      <c r="N134" s="168"/>
      <c r="O134" s="55" t="s">
        <v>107</v>
      </c>
      <c r="P134" s="39"/>
      <c r="Q134" s="75"/>
      <c r="R134" s="69">
        <f>5/5*7000+10/10*(10000+4750)</f>
        <v>21750</v>
      </c>
      <c r="S134" s="76"/>
      <c r="T134" s="76"/>
      <c r="U134" s="74">
        <f>Q134+R134</f>
        <v>21750</v>
      </c>
      <c r="V134" s="169">
        <f>U134+T134</f>
        <v>21750</v>
      </c>
      <c r="W134" s="185">
        <f>6/6*7000000+10/10*10000000+11/11*4750000</f>
        <v>21750000</v>
      </c>
    </row>
    <row r="135" spans="1:23" ht="12.75" hidden="1">
      <c r="A135" s="26"/>
      <c r="B135" s="2"/>
      <c r="C135" s="28"/>
      <c r="D135" s="72"/>
      <c r="E135" s="69"/>
      <c r="F135" s="69"/>
      <c r="G135" s="69"/>
      <c r="H135" s="74"/>
      <c r="I135" s="169"/>
      <c r="J135" s="177"/>
      <c r="K135" s="123"/>
      <c r="L135" s="168"/>
      <c r="M135" s="246"/>
      <c r="N135" s="168"/>
      <c r="O135" s="55"/>
      <c r="P135" s="39"/>
      <c r="Q135" s="75"/>
      <c r="R135" s="69"/>
      <c r="S135" s="76"/>
      <c r="T135" s="76"/>
      <c r="U135" s="74"/>
      <c r="V135" s="169"/>
      <c r="W135" s="185"/>
    </row>
    <row r="136" spans="1:23" ht="12.75">
      <c r="A136" s="26" t="s">
        <v>186</v>
      </c>
      <c r="B136" s="27" t="s">
        <v>70</v>
      </c>
      <c r="C136" s="28" t="s">
        <v>187</v>
      </c>
      <c r="D136" s="72"/>
      <c r="E136" s="69">
        <f>5/5*1000</f>
        <v>1000</v>
      </c>
      <c r="F136" s="69"/>
      <c r="G136" s="69"/>
      <c r="H136" s="74">
        <f>D136+E136</f>
        <v>1000</v>
      </c>
      <c r="I136" s="169">
        <f>H136+F136</f>
        <v>1000</v>
      </c>
      <c r="J136" s="177">
        <f>2007/2007*(4491/4491*1000000+4635/4635*390500)*0+4/4*1666*0*9/9+9/9*10000*0+12/12*1000000</f>
        <v>1000000</v>
      </c>
      <c r="K136" s="123"/>
      <c r="L136" s="168">
        <f>J136+K136</f>
        <v>1000000</v>
      </c>
      <c r="M136" s="246">
        <v>92280.5</v>
      </c>
      <c r="N136" s="168">
        <f>L136+M136</f>
        <v>1092280.5</v>
      </c>
      <c r="O136" s="55"/>
      <c r="P136" s="39"/>
      <c r="Q136" s="75"/>
      <c r="R136" s="76"/>
      <c r="S136" s="76"/>
      <c r="T136" s="76"/>
      <c r="U136" s="74">
        <f>Q136+R136</f>
        <v>0</v>
      </c>
      <c r="V136" s="169">
        <f>U136+T136</f>
        <v>0</v>
      </c>
      <c r="W136" s="185"/>
    </row>
    <row r="137" spans="1:23" ht="12.75">
      <c r="A137" s="26" t="s">
        <v>188</v>
      </c>
      <c r="B137" s="27" t="s">
        <v>70</v>
      </c>
      <c r="C137" s="28" t="s">
        <v>187</v>
      </c>
      <c r="D137" s="72"/>
      <c r="E137" s="69">
        <f>5/5*390.5</f>
        <v>390.5</v>
      </c>
      <c r="F137" s="69"/>
      <c r="G137" s="69"/>
      <c r="H137" s="74">
        <f>D137+E137</f>
        <v>390.5</v>
      </c>
      <c r="I137" s="169">
        <f>H137+F137</f>
        <v>390.5</v>
      </c>
      <c r="J137" s="177">
        <f>12/12*390500</f>
        <v>390500</v>
      </c>
      <c r="K137" s="123"/>
      <c r="L137" s="168"/>
      <c r="M137" s="246"/>
      <c r="N137" s="168"/>
      <c r="O137" s="55"/>
      <c r="P137" s="39"/>
      <c r="Q137" s="75"/>
      <c r="R137" s="76"/>
      <c r="S137" s="76"/>
      <c r="T137" s="76"/>
      <c r="U137" s="74"/>
      <c r="V137" s="169">
        <f>U137+T137</f>
        <v>0</v>
      </c>
      <c r="W137" s="185"/>
    </row>
    <row r="138" spans="1:23" ht="12.75" hidden="1">
      <c r="A138" s="26"/>
      <c r="B138" s="27"/>
      <c r="C138" s="28"/>
      <c r="D138" s="72"/>
      <c r="E138" s="69"/>
      <c r="F138" s="69"/>
      <c r="G138" s="69"/>
      <c r="H138" s="74"/>
      <c r="I138" s="169"/>
      <c r="J138" s="177"/>
      <c r="K138" s="123"/>
      <c r="L138" s="168"/>
      <c r="M138" s="246"/>
      <c r="N138" s="168"/>
      <c r="O138" s="55"/>
      <c r="P138" s="39"/>
      <c r="Q138" s="75"/>
      <c r="R138" s="141"/>
      <c r="S138" s="76"/>
      <c r="T138" s="76"/>
      <c r="U138" s="74"/>
      <c r="V138" s="169"/>
      <c r="W138" s="185"/>
    </row>
    <row r="139" spans="1:23" ht="12.75">
      <c r="A139" s="26" t="s">
        <v>72</v>
      </c>
      <c r="B139" s="2" t="s">
        <v>73</v>
      </c>
      <c r="C139" s="28" t="s">
        <v>74</v>
      </c>
      <c r="D139" s="72"/>
      <c r="E139" s="69">
        <f>4/4*60+7/7*60+9/9*60+12/12*21</f>
        <v>201</v>
      </c>
      <c r="F139" s="69"/>
      <c r="G139" s="69"/>
      <c r="H139" s="74">
        <f>D139+E139</f>
        <v>201</v>
      </c>
      <c r="I139" s="169">
        <f>H139+F139</f>
        <v>201</v>
      </c>
      <c r="J139" s="177">
        <f>98031/98031*(2/2*22386*0+3/3*(22386+9270)*0+4/4*40816*0+5/5*49944*0+6/6*112100.5+7/7*9060+8/8*8738+9/9*8906+10/10*6904+11/11*31987.8+12/12*15625.4)</f>
        <v>193321.69999999998</v>
      </c>
      <c r="K139" s="123"/>
      <c r="L139" s="168">
        <f>J139+K139</f>
        <v>193321.69999999998</v>
      </c>
      <c r="M139" s="246">
        <v>69492</v>
      </c>
      <c r="N139" s="168">
        <f>L139+M139</f>
        <v>262813.69999999995</v>
      </c>
      <c r="O139" s="57" t="s">
        <v>108</v>
      </c>
      <c r="P139" s="39"/>
      <c r="Q139" s="75"/>
      <c r="R139" s="69">
        <f>4/4*60+7/7*60+9/9*60+12/12*21</f>
        <v>201</v>
      </c>
      <c r="S139" s="76"/>
      <c r="T139" s="76"/>
      <c r="U139" s="74">
        <f>Q139+R139</f>
        <v>201</v>
      </c>
      <c r="V139" s="169">
        <f>U139+T139</f>
        <v>201</v>
      </c>
      <c r="W139" s="185">
        <f>4/4*60000+7/7*60000+9/9*60000+12/12*21000</f>
        <v>201000</v>
      </c>
    </row>
    <row r="140" spans="1:23" ht="12.75">
      <c r="A140" s="26" t="s">
        <v>57</v>
      </c>
      <c r="B140" s="2" t="s">
        <v>73</v>
      </c>
      <c r="C140" s="28" t="s">
        <v>75</v>
      </c>
      <c r="D140" s="72"/>
      <c r="E140" s="69">
        <f>6/6*81/81*160</f>
        <v>160</v>
      </c>
      <c r="F140" s="69"/>
      <c r="G140" s="69"/>
      <c r="H140" s="74">
        <f>D140+E140</f>
        <v>160</v>
      </c>
      <c r="I140" s="169">
        <f>H140+F140</f>
        <v>160</v>
      </c>
      <c r="J140" s="177">
        <f>81/81*(2/2*10600*0+10/10*79610+11/11*17590+12/12*131270)</f>
        <v>228470</v>
      </c>
      <c r="K140" s="123"/>
      <c r="L140" s="168">
        <f>J140+K140</f>
        <v>228470</v>
      </c>
      <c r="M140" s="246"/>
      <c r="N140" s="168">
        <f>L140+M140</f>
        <v>228470</v>
      </c>
      <c r="O140" s="57" t="s">
        <v>107</v>
      </c>
      <c r="P140" s="39"/>
      <c r="Q140" s="75"/>
      <c r="R140" s="76">
        <f>6/6*160</f>
        <v>160</v>
      </c>
      <c r="S140" s="76"/>
      <c r="T140" s="76"/>
      <c r="U140" s="74">
        <f>Q140+R140</f>
        <v>160</v>
      </c>
      <c r="V140" s="169">
        <f>U140+T140</f>
        <v>160</v>
      </c>
      <c r="W140" s="185">
        <f>6/6*160000</f>
        <v>160000</v>
      </c>
    </row>
    <row r="141" spans="1:23" ht="12.75" hidden="1">
      <c r="A141" s="26"/>
      <c r="B141" s="2"/>
      <c r="C141" s="28"/>
      <c r="D141" s="72"/>
      <c r="E141" s="69"/>
      <c r="F141" s="69"/>
      <c r="G141" s="69"/>
      <c r="H141" s="74"/>
      <c r="I141" s="169"/>
      <c r="J141" s="177"/>
      <c r="K141" s="123"/>
      <c r="L141" s="168"/>
      <c r="M141" s="246"/>
      <c r="N141" s="168"/>
      <c r="O141" s="55"/>
      <c r="P141" s="39"/>
      <c r="Q141" s="75"/>
      <c r="R141" s="141"/>
      <c r="S141" s="76"/>
      <c r="T141" s="76"/>
      <c r="U141" s="74"/>
      <c r="V141" s="169"/>
      <c r="W141" s="185"/>
    </row>
    <row r="142" spans="1:23" ht="12.75" hidden="1">
      <c r="A142" s="26"/>
      <c r="B142" s="2"/>
      <c r="C142" s="28"/>
      <c r="D142" s="72"/>
      <c r="E142" s="69"/>
      <c r="F142" s="69"/>
      <c r="G142" s="69"/>
      <c r="H142" s="74"/>
      <c r="I142" s="169"/>
      <c r="J142" s="177"/>
      <c r="K142" s="123"/>
      <c r="L142" s="168"/>
      <c r="M142" s="246"/>
      <c r="N142" s="168"/>
      <c r="O142" s="55"/>
      <c r="P142" s="39"/>
      <c r="Q142" s="75"/>
      <c r="R142" s="69"/>
      <c r="S142" s="76"/>
      <c r="T142" s="76"/>
      <c r="U142" s="74"/>
      <c r="V142" s="169"/>
      <c r="W142" s="185"/>
    </row>
    <row r="143" spans="1:23" ht="12.75">
      <c r="A143" s="26" t="s">
        <v>57</v>
      </c>
      <c r="B143" s="2" t="s">
        <v>56</v>
      </c>
      <c r="C143" s="28" t="s">
        <v>189</v>
      </c>
      <c r="D143" s="72"/>
      <c r="E143" s="69">
        <f>7/7*220</f>
        <v>220</v>
      </c>
      <c r="F143" s="69"/>
      <c r="G143" s="69"/>
      <c r="H143" s="74">
        <f>D143+E143</f>
        <v>220</v>
      </c>
      <c r="I143" s="249">
        <f>H143+F143</f>
        <v>220</v>
      </c>
      <c r="J143" s="177">
        <f>7/7*(5137/5137*(30*0+30000+12/12*199972.3)+5156/5156*(30*0+15000*0+9/9*18458*0+10/10*23409*0+11/11*24850+12/12*5150)+5169/5169*(10*0+10000)+5171/5171*(150*0+25033+12/12*(-25033+150000))-199972.3)</f>
        <v>220000</v>
      </c>
      <c r="K143" s="123"/>
      <c r="L143" s="168">
        <f>J143+K143</f>
        <v>220000</v>
      </c>
      <c r="M143" s="246">
        <v>511000</v>
      </c>
      <c r="N143" s="168">
        <f>L143+M143</f>
        <v>731000</v>
      </c>
      <c r="O143" s="57" t="s">
        <v>107</v>
      </c>
      <c r="P143" s="39"/>
      <c r="Q143" s="75"/>
      <c r="R143" s="69">
        <f>81/81*7/7*220</f>
        <v>220</v>
      </c>
      <c r="S143" s="76"/>
      <c r="T143" s="76"/>
      <c r="U143" s="74">
        <f>Q143+R143</f>
        <v>220</v>
      </c>
      <c r="V143" s="169">
        <f>U143+T143</f>
        <v>220</v>
      </c>
      <c r="W143" s="185">
        <f>81/81*7/7*220000</f>
        <v>220000</v>
      </c>
    </row>
    <row r="144" spans="1:23" ht="12.75">
      <c r="A144" s="127" t="s">
        <v>76</v>
      </c>
      <c r="B144" s="142" t="s">
        <v>190</v>
      </c>
      <c r="C144" s="124" t="s">
        <v>191</v>
      </c>
      <c r="D144" s="72"/>
      <c r="E144" s="73">
        <f>12/12*200</f>
        <v>200</v>
      </c>
      <c r="F144" s="73"/>
      <c r="G144" s="131"/>
      <c r="H144" s="74">
        <f>D144+E144</f>
        <v>200</v>
      </c>
      <c r="I144" s="169">
        <f>H144+F144</f>
        <v>200</v>
      </c>
      <c r="J144" s="176">
        <f>199972.3</f>
        <v>199972.3</v>
      </c>
      <c r="K144" s="250"/>
      <c r="L144" s="245"/>
      <c r="M144" s="251"/>
      <c r="N144" s="245"/>
      <c r="O144" s="55" t="s">
        <v>107</v>
      </c>
      <c r="P144" s="39"/>
      <c r="Q144" s="75"/>
      <c r="R144" s="69">
        <f>12/12*200</f>
        <v>200</v>
      </c>
      <c r="S144" s="143"/>
      <c r="T144" s="76"/>
      <c r="U144" s="74">
        <f>Q144+R144</f>
        <v>200</v>
      </c>
      <c r="V144" s="169">
        <f>U144+T144</f>
        <v>200</v>
      </c>
      <c r="W144" s="185">
        <f>12/12*200000</f>
        <v>200000</v>
      </c>
    </row>
    <row r="145" spans="1:23" ht="12.75" hidden="1">
      <c r="A145" s="26"/>
      <c r="B145" s="2"/>
      <c r="C145" s="28"/>
      <c r="D145" s="72"/>
      <c r="E145" s="69"/>
      <c r="F145" s="69"/>
      <c r="G145" s="69"/>
      <c r="H145" s="74"/>
      <c r="I145" s="169"/>
      <c r="J145" s="177"/>
      <c r="K145" s="123"/>
      <c r="L145" s="168"/>
      <c r="M145" s="246"/>
      <c r="N145" s="168"/>
      <c r="O145" s="55"/>
      <c r="P145" s="39"/>
      <c r="Q145" s="75"/>
      <c r="R145" s="69"/>
      <c r="S145" s="76"/>
      <c r="T145" s="76"/>
      <c r="U145" s="74"/>
      <c r="V145" s="169"/>
      <c r="W145" s="185"/>
    </row>
    <row r="146" spans="1:23" s="96" customFormat="1" ht="12.75">
      <c r="A146" s="26" t="s">
        <v>192</v>
      </c>
      <c r="B146" s="27" t="s">
        <v>77</v>
      </c>
      <c r="C146" s="28" t="s">
        <v>193</v>
      </c>
      <c r="D146" s="72"/>
      <c r="E146" s="69">
        <f>5/5*83</f>
        <v>83</v>
      </c>
      <c r="F146" s="69"/>
      <c r="G146" s="69"/>
      <c r="H146" s="74">
        <f>D146+E146</f>
        <v>83</v>
      </c>
      <c r="I146" s="169">
        <f>H146+F146</f>
        <v>83</v>
      </c>
      <c r="J146" s="177">
        <f>6/6*83000</f>
        <v>83000</v>
      </c>
      <c r="K146" s="123"/>
      <c r="L146" s="168">
        <f>J146+K146</f>
        <v>83000</v>
      </c>
      <c r="M146" s="246">
        <v>0</v>
      </c>
      <c r="N146" s="168">
        <f>L146+M146</f>
        <v>83000</v>
      </c>
      <c r="O146" s="57" t="s">
        <v>107</v>
      </c>
      <c r="P146" s="39"/>
      <c r="Q146" s="75"/>
      <c r="R146" s="69">
        <f>5/5*83</f>
        <v>83</v>
      </c>
      <c r="S146" s="76"/>
      <c r="T146" s="76"/>
      <c r="U146" s="74">
        <f>Q146+R146</f>
        <v>83</v>
      </c>
      <c r="V146" s="169">
        <f>U146+T146</f>
        <v>83</v>
      </c>
      <c r="W146" s="185">
        <f>5/5*83000</f>
        <v>83000</v>
      </c>
    </row>
    <row r="147" spans="1:23" s="96" customFormat="1" ht="12.75">
      <c r="A147" s="127" t="s">
        <v>192</v>
      </c>
      <c r="B147" s="142" t="s">
        <v>194</v>
      </c>
      <c r="C147" s="124" t="s">
        <v>195</v>
      </c>
      <c r="D147" s="72"/>
      <c r="E147" s="73">
        <f>10/10*146.4</f>
        <v>146.4</v>
      </c>
      <c r="F147" s="73"/>
      <c r="G147" s="131"/>
      <c r="H147" s="74">
        <f>D147+E147</f>
        <v>146.4</v>
      </c>
      <c r="I147" s="169">
        <f>H147+F147</f>
        <v>146.4</v>
      </c>
      <c r="J147" s="176">
        <f>11/11*146400</f>
        <v>146400</v>
      </c>
      <c r="K147" s="250"/>
      <c r="L147" s="245"/>
      <c r="M147" s="251"/>
      <c r="N147" s="245"/>
      <c r="O147" s="55" t="s">
        <v>107</v>
      </c>
      <c r="P147" s="39"/>
      <c r="Q147" s="75"/>
      <c r="R147" s="69">
        <f>10/10*146.4</f>
        <v>146.4</v>
      </c>
      <c r="S147" s="143"/>
      <c r="T147" s="76"/>
      <c r="U147" s="74">
        <f>Q147+R147</f>
        <v>146.4</v>
      </c>
      <c r="V147" s="169">
        <f>U147+T147</f>
        <v>146.4</v>
      </c>
      <c r="W147" s="185">
        <f>10/10*146400</f>
        <v>146400</v>
      </c>
    </row>
    <row r="148" spans="1:23" s="96" customFormat="1" ht="12.75" hidden="1">
      <c r="A148" s="26"/>
      <c r="B148" s="2"/>
      <c r="C148" s="28"/>
      <c r="D148" s="72"/>
      <c r="E148" s="69"/>
      <c r="F148" s="69"/>
      <c r="G148" s="69"/>
      <c r="H148" s="74"/>
      <c r="I148" s="169"/>
      <c r="J148" s="177"/>
      <c r="K148" s="123"/>
      <c r="L148" s="168"/>
      <c r="M148" s="246"/>
      <c r="N148" s="168"/>
      <c r="O148" s="55"/>
      <c r="P148" s="39"/>
      <c r="Q148" s="75"/>
      <c r="R148" s="69"/>
      <c r="S148" s="76"/>
      <c r="T148" s="76"/>
      <c r="U148" s="74"/>
      <c r="V148" s="169"/>
      <c r="W148" s="185"/>
    </row>
    <row r="149" spans="1:23" s="96" customFormat="1" ht="12.75" hidden="1">
      <c r="A149" s="26" t="s">
        <v>136</v>
      </c>
      <c r="B149" s="27" t="s">
        <v>71</v>
      </c>
      <c r="C149" s="28" t="s">
        <v>218</v>
      </c>
      <c r="D149" s="72"/>
      <c r="E149" s="69"/>
      <c r="F149" s="69"/>
      <c r="G149" s="69"/>
      <c r="H149" s="74">
        <f>D149+E149</f>
        <v>0</v>
      </c>
      <c r="I149" s="169">
        <f>H149+F149</f>
        <v>0</v>
      </c>
      <c r="J149" s="177">
        <f>(4/4*380653.09*0+5/5*808865.99+(2007/2007*3500000*19%-665000))*0*16/16</f>
        <v>0</v>
      </c>
      <c r="K149" s="123"/>
      <c r="L149" s="168">
        <f>J149+K149</f>
        <v>0</v>
      </c>
      <c r="M149" s="246"/>
      <c r="N149" s="168">
        <f>L149+M149</f>
        <v>0</v>
      </c>
      <c r="O149" s="55"/>
      <c r="P149" s="39"/>
      <c r="Q149" s="75"/>
      <c r="R149" s="76"/>
      <c r="S149" s="76"/>
      <c r="T149" s="76"/>
      <c r="U149" s="74">
        <f>Q149+R149</f>
        <v>0</v>
      </c>
      <c r="V149" s="169">
        <f>U149+T149</f>
        <v>0</v>
      </c>
      <c r="W149" s="185"/>
    </row>
    <row r="150" spans="1:23" s="96" customFormat="1" ht="12.75">
      <c r="A150" s="26" t="s">
        <v>57</v>
      </c>
      <c r="B150" s="2">
        <v>6171</v>
      </c>
      <c r="C150" s="28" t="s">
        <v>196</v>
      </c>
      <c r="D150" s="72"/>
      <c r="E150" s="69">
        <f>5/5*392</f>
        <v>392</v>
      </c>
      <c r="F150" s="69"/>
      <c r="G150" s="69"/>
      <c r="H150" s="74">
        <f>D150+E150</f>
        <v>392</v>
      </c>
      <c r="I150" s="169">
        <f>H150+F150</f>
        <v>392</v>
      </c>
      <c r="J150" s="177">
        <f>8/8*(30000+40000+10/10*2*61000)+4351/4351*(9/9*20965.5+12/12*179034)</f>
        <v>391999.5</v>
      </c>
      <c r="K150" s="123"/>
      <c r="L150" s="168">
        <f>J150+K150</f>
        <v>391999.5</v>
      </c>
      <c r="M150" s="246">
        <v>842040</v>
      </c>
      <c r="N150" s="168">
        <f>L150+M150</f>
        <v>1234039.5</v>
      </c>
      <c r="O150" s="55" t="s">
        <v>107</v>
      </c>
      <c r="P150" s="39"/>
      <c r="Q150" s="75"/>
      <c r="R150" s="69">
        <f>5/5*392</f>
        <v>392</v>
      </c>
      <c r="S150" s="76"/>
      <c r="T150" s="76"/>
      <c r="U150" s="74">
        <f>Q150+R150</f>
        <v>392</v>
      </c>
      <c r="V150" s="169">
        <f>U150+T150</f>
        <v>392</v>
      </c>
      <c r="W150" s="185">
        <f>5/5*392000</f>
        <v>392000</v>
      </c>
    </row>
    <row r="151" spans="1:23" s="96" customFormat="1" ht="12.75">
      <c r="A151" s="26" t="s">
        <v>197</v>
      </c>
      <c r="B151" s="12" t="s">
        <v>198</v>
      </c>
      <c r="C151" s="28" t="s">
        <v>199</v>
      </c>
      <c r="D151" s="164"/>
      <c r="E151" s="69">
        <f>7/7*5000*0*11/11</f>
        <v>0</v>
      </c>
      <c r="F151" s="69"/>
      <c r="G151" s="69"/>
      <c r="H151" s="74">
        <f>D151+E151</f>
        <v>0</v>
      </c>
      <c r="I151" s="169">
        <f>H151+F151</f>
        <v>0</v>
      </c>
      <c r="J151" s="176">
        <f>9/9*16500</f>
        <v>16500</v>
      </c>
      <c r="K151" s="250"/>
      <c r="L151" s="245"/>
      <c r="M151" s="251"/>
      <c r="N151" s="245"/>
      <c r="O151" s="55" t="s">
        <v>107</v>
      </c>
      <c r="P151" s="39"/>
      <c r="Q151" s="75"/>
      <c r="R151" s="69">
        <f>7/7*5000*0*11/11</f>
        <v>0</v>
      </c>
      <c r="S151" s="76"/>
      <c r="T151" s="76"/>
      <c r="U151" s="74">
        <f>Q151+R151</f>
        <v>0</v>
      </c>
      <c r="V151" s="169">
        <f>U151+T151</f>
        <v>0</v>
      </c>
      <c r="W151" s="185">
        <f>9/9*5000000+12/12*-5000000</f>
        <v>0</v>
      </c>
    </row>
    <row r="152" spans="1:23" s="96" customFormat="1" ht="12.75" hidden="1">
      <c r="A152" s="26"/>
      <c r="B152" s="2"/>
      <c r="C152" s="28"/>
      <c r="D152" s="72"/>
      <c r="E152" s="69"/>
      <c r="F152" s="69"/>
      <c r="G152" s="69"/>
      <c r="H152" s="74"/>
      <c r="I152" s="169"/>
      <c r="J152" s="177"/>
      <c r="K152" s="123"/>
      <c r="L152" s="168"/>
      <c r="M152" s="246"/>
      <c r="N152" s="168"/>
      <c r="O152" s="55"/>
      <c r="P152" s="39"/>
      <c r="Q152" s="75"/>
      <c r="R152" s="69"/>
      <c r="S152" s="76"/>
      <c r="T152" s="76"/>
      <c r="U152" s="74"/>
      <c r="V152" s="169"/>
      <c r="W152" s="185"/>
    </row>
    <row r="153" spans="1:23" s="96" customFormat="1" ht="12.75" hidden="1">
      <c r="A153" s="26"/>
      <c r="B153" s="2"/>
      <c r="C153" s="28"/>
      <c r="D153" s="72"/>
      <c r="E153" s="69"/>
      <c r="F153" s="69"/>
      <c r="G153" s="69"/>
      <c r="H153" s="74"/>
      <c r="I153" s="169"/>
      <c r="J153" s="177"/>
      <c r="K153" s="123"/>
      <c r="L153" s="168"/>
      <c r="M153" s="246"/>
      <c r="N153" s="168"/>
      <c r="O153" s="55"/>
      <c r="P153" s="39"/>
      <c r="Q153" s="75"/>
      <c r="R153" s="69"/>
      <c r="S153" s="76"/>
      <c r="T153" s="76"/>
      <c r="U153" s="74"/>
      <c r="V153" s="169"/>
      <c r="W153" s="185"/>
    </row>
    <row r="154" spans="1:23" s="96" customFormat="1" ht="12.75" hidden="1">
      <c r="A154" s="26"/>
      <c r="B154" s="2"/>
      <c r="C154" s="28"/>
      <c r="D154" s="72"/>
      <c r="E154" s="69"/>
      <c r="F154" s="69"/>
      <c r="G154" s="69"/>
      <c r="H154" s="74"/>
      <c r="I154" s="169"/>
      <c r="J154" s="177"/>
      <c r="K154" s="123"/>
      <c r="L154" s="168"/>
      <c r="M154" s="246"/>
      <c r="N154" s="168"/>
      <c r="O154" s="55"/>
      <c r="P154" s="39"/>
      <c r="Q154" s="75"/>
      <c r="R154" s="69"/>
      <c r="S154" s="76"/>
      <c r="T154" s="76"/>
      <c r="U154" s="74"/>
      <c r="V154" s="169"/>
      <c r="W154" s="185"/>
    </row>
    <row r="155" spans="1:23" s="96" customFormat="1" ht="12.75" hidden="1">
      <c r="A155" s="26"/>
      <c r="B155" s="2"/>
      <c r="C155" s="28"/>
      <c r="D155" s="72"/>
      <c r="E155" s="69"/>
      <c r="F155" s="69"/>
      <c r="G155" s="69"/>
      <c r="H155" s="74"/>
      <c r="I155" s="169"/>
      <c r="J155" s="177"/>
      <c r="K155" s="123"/>
      <c r="L155" s="168"/>
      <c r="M155" s="246"/>
      <c r="N155" s="168"/>
      <c r="O155" s="55"/>
      <c r="P155" s="39"/>
      <c r="Q155" s="75"/>
      <c r="R155" s="69"/>
      <c r="S155" s="76"/>
      <c r="T155" s="76"/>
      <c r="U155" s="74"/>
      <c r="V155" s="169"/>
      <c r="W155" s="185"/>
    </row>
    <row r="156" spans="1:23" s="96" customFormat="1" ht="12.75" hidden="1">
      <c r="A156" s="26"/>
      <c r="B156" s="2"/>
      <c r="C156" s="28"/>
      <c r="D156" s="72"/>
      <c r="E156" s="69"/>
      <c r="F156" s="69"/>
      <c r="G156" s="69"/>
      <c r="H156" s="74"/>
      <c r="I156" s="169"/>
      <c r="J156" s="177"/>
      <c r="K156" s="123"/>
      <c r="L156" s="168"/>
      <c r="M156" s="246"/>
      <c r="N156" s="168"/>
      <c r="O156" s="55"/>
      <c r="P156" s="39"/>
      <c r="Q156" s="75"/>
      <c r="R156" s="69"/>
      <c r="S156" s="76"/>
      <c r="T156" s="76"/>
      <c r="U156" s="74"/>
      <c r="V156" s="169"/>
      <c r="W156" s="185"/>
    </row>
    <row r="157" spans="1:23" s="96" customFormat="1" ht="12.75" hidden="1">
      <c r="A157" s="26"/>
      <c r="B157" s="2"/>
      <c r="C157" s="28"/>
      <c r="D157" s="72"/>
      <c r="E157" s="69"/>
      <c r="F157" s="69"/>
      <c r="G157" s="69"/>
      <c r="H157" s="74"/>
      <c r="I157" s="169"/>
      <c r="J157" s="177"/>
      <c r="K157" s="123"/>
      <c r="L157" s="168"/>
      <c r="M157" s="246"/>
      <c r="N157" s="168"/>
      <c r="O157" s="55"/>
      <c r="P157" s="39"/>
      <c r="Q157" s="75"/>
      <c r="R157" s="69"/>
      <c r="S157" s="76"/>
      <c r="T157" s="76"/>
      <c r="U157" s="74"/>
      <c r="V157" s="169"/>
      <c r="W157" s="185"/>
    </row>
    <row r="158" spans="1:23" s="96" customFormat="1" ht="12.75" hidden="1">
      <c r="A158" s="26"/>
      <c r="B158" s="2"/>
      <c r="C158" s="28"/>
      <c r="D158" s="72"/>
      <c r="E158" s="69"/>
      <c r="F158" s="69"/>
      <c r="G158" s="69"/>
      <c r="H158" s="74"/>
      <c r="I158" s="169"/>
      <c r="J158" s="177"/>
      <c r="K158" s="123"/>
      <c r="L158" s="168"/>
      <c r="M158" s="246"/>
      <c r="N158" s="168"/>
      <c r="O158" s="55"/>
      <c r="P158" s="39"/>
      <c r="Q158" s="75"/>
      <c r="R158" s="69"/>
      <c r="S158" s="76"/>
      <c r="T158" s="76"/>
      <c r="U158" s="74"/>
      <c r="V158" s="169"/>
      <c r="W158" s="185"/>
    </row>
    <row r="159" spans="1:23" s="96" customFormat="1" ht="13.5" thickBot="1">
      <c r="A159" s="144"/>
      <c r="B159" s="29"/>
      <c r="C159" s="30"/>
      <c r="D159" s="145"/>
      <c r="E159" s="146"/>
      <c r="F159" s="146"/>
      <c r="G159" s="146"/>
      <c r="H159" s="147"/>
      <c r="I159" s="169">
        <f>H159+F159</f>
        <v>0</v>
      </c>
      <c r="J159" s="183"/>
      <c r="K159" s="252"/>
      <c r="L159" s="253"/>
      <c r="M159" s="254"/>
      <c r="N159" s="253"/>
      <c r="O159" s="148"/>
      <c r="P159" s="149"/>
      <c r="Q159" s="150"/>
      <c r="R159" s="151"/>
      <c r="S159" s="151"/>
      <c r="T159" s="151"/>
      <c r="U159" s="152"/>
      <c r="V159" s="169">
        <f>U159+T159</f>
        <v>0</v>
      </c>
      <c r="W159" s="195"/>
    </row>
    <row r="160" spans="1:23" ht="14.25" thickBot="1" thickTop="1">
      <c r="A160" s="153" t="s">
        <v>78</v>
      </c>
      <c r="B160" s="31"/>
      <c r="C160" s="154"/>
      <c r="D160" s="155">
        <f>SUM(D113:D159)</f>
        <v>0</v>
      </c>
      <c r="E160" s="97">
        <f>SUM(E113:E159)</f>
        <v>59912.200000000004</v>
      </c>
      <c r="F160" s="97">
        <f>SUM(F113:F159)</f>
        <v>0</v>
      </c>
      <c r="G160" s="97"/>
      <c r="H160" s="97">
        <f aca="true" t="shared" si="40" ref="H160:N160">SUM(H113:H159)</f>
        <v>59912.200000000004</v>
      </c>
      <c r="I160" s="97">
        <f t="shared" si="40"/>
        <v>59912.200000000004</v>
      </c>
      <c r="J160" s="255">
        <f t="shared" si="40"/>
        <v>57414649.44</v>
      </c>
      <c r="K160" s="101">
        <f t="shared" si="40"/>
        <v>0</v>
      </c>
      <c r="L160" s="256">
        <f t="shared" si="40"/>
        <v>34911277.14</v>
      </c>
      <c r="M160" s="101">
        <f t="shared" si="40"/>
        <v>7961238.05</v>
      </c>
      <c r="N160" s="256">
        <f t="shared" si="40"/>
        <v>42872515.19</v>
      </c>
      <c r="O160" s="58"/>
      <c r="P160" s="59" t="s">
        <v>109</v>
      </c>
      <c r="Q160" s="97">
        <f>SUM(Q113:Q159)</f>
        <v>0</v>
      </c>
      <c r="R160" s="97">
        <f>SUM(R113:R159)</f>
        <v>58034.00000000001</v>
      </c>
      <c r="S160" s="97"/>
      <c r="T160" s="97">
        <f>SUM(T113:T159)</f>
        <v>0</v>
      </c>
      <c r="U160" s="97">
        <f>SUM(U113:U159)</f>
        <v>58034.00000000001</v>
      </c>
      <c r="V160" s="97">
        <f>SUM(V113:V159)</f>
        <v>58034.00000000001</v>
      </c>
      <c r="W160" s="196">
        <f>SUM(W113:W159)</f>
        <v>56934016</v>
      </c>
    </row>
    <row r="161" spans="1:23" ht="14.25" thickBot="1" thickTop="1">
      <c r="A161" s="156" t="s">
        <v>79</v>
      </c>
      <c r="B161" s="32"/>
      <c r="C161" s="157"/>
      <c r="D161" s="155">
        <f>D108+D160</f>
        <v>64019</v>
      </c>
      <c r="E161" s="97">
        <f>E108+E160</f>
        <v>61388.50000000001</v>
      </c>
      <c r="F161" s="97">
        <f>F108+F160</f>
        <v>4076</v>
      </c>
      <c r="G161" s="97"/>
      <c r="H161" s="97">
        <f aca="true" t="shared" si="41" ref="H161:N161">H108+H160</f>
        <v>125407.5</v>
      </c>
      <c r="I161" s="97">
        <f t="shared" si="41"/>
        <v>129483.5</v>
      </c>
      <c r="J161" s="255">
        <f t="shared" si="41"/>
        <v>125017424.01999998</v>
      </c>
      <c r="K161" s="101">
        <f t="shared" si="41"/>
        <v>-2374405</v>
      </c>
      <c r="L161" s="256">
        <f t="shared" si="41"/>
        <v>84112351.59</v>
      </c>
      <c r="M161" s="101">
        <f t="shared" si="41"/>
        <v>18525617.05</v>
      </c>
      <c r="N161" s="256">
        <f t="shared" si="41"/>
        <v>102637968.63999999</v>
      </c>
      <c r="O161" s="58"/>
      <c r="P161" s="59" t="s">
        <v>110</v>
      </c>
      <c r="Q161" s="97">
        <f>Q108+Q160</f>
        <v>64019</v>
      </c>
      <c r="R161" s="97">
        <f>R108+R160</f>
        <v>59671.200000000004</v>
      </c>
      <c r="S161" s="97"/>
      <c r="T161" s="97">
        <f>T108+T160</f>
        <v>4076</v>
      </c>
      <c r="U161" s="97">
        <f>U108+U160</f>
        <v>123690.20000000001</v>
      </c>
      <c r="V161" s="97">
        <f>V108+V160</f>
        <v>127766.20000000001</v>
      </c>
      <c r="W161" s="196">
        <f>W108+W160</f>
        <v>125065746.57</v>
      </c>
    </row>
    <row r="162" spans="1:23" ht="13.5" thickTop="1">
      <c r="A162" s="35"/>
      <c r="B162" s="35"/>
      <c r="C162" s="33"/>
      <c r="D162" s="45">
        <f>64019-D161</f>
        <v>0</v>
      </c>
      <c r="E162" s="45">
        <f>2603/2603*(23603.8+4/4*408.2+5/5*(7000+1500+90/90*(336.9+1000+390.5+150.8)+83+392)+6/6*(2500+160)+7/7*(99/99*(611.5+800)+348.3+220+60+5000)+8/8*163+9/9*(60+8529)+10/10*(4/4*146.4+6/6*(10000+4750)+9/9*348.3)+11/11*(-5000+1000+64.8-1000)+12/12*(21+200-2459))-E161</f>
        <v>0</v>
      </c>
      <c r="F162" s="45">
        <f>4076-F161</f>
        <v>0</v>
      </c>
      <c r="G162" s="33"/>
      <c r="H162" s="45">
        <f>(87081.6+541.2)-H161</f>
        <v>-37784.7</v>
      </c>
      <c r="I162" s="45">
        <f>3/3*87622.8*0+4/4*88031*0+5/5*98884.2*0+6/6*101544.2*0+7/7*108584*0+8/8*108747*0+9/9*117336*0+10/10*132580.7*0+11/11*127645.5*0+12/12*129483.5-I161</f>
        <v>0</v>
      </c>
      <c r="J162" s="173">
        <f>11876419.57*0+3/3*(39698059.35-19354711.59)*0+4/4*(30729214.58*0+60549647.71-29820433.13)*0+5/5*(38116291.38*0+74281516.01-36165224.63)*0+6/6*(47416101.73*0+91388336.86-43972235.13)*0+7/7*65226183.11*0+8/8*78137237.49*0+9/9*87464997.66*0+10/10*102720181.23*0+11/11*114230013.92*0+12/12*125017424.02-J161</f>
        <v>0</v>
      </c>
      <c r="O162" s="33"/>
      <c r="P162" s="33"/>
      <c r="Q162" s="45">
        <f>64019-Q161</f>
        <v>0</v>
      </c>
      <c r="R162" s="45">
        <f>2603/2603*(23603.8+4/4*408.2+5/5*(7000+1500+83+392)+6/6*(2500+160)+7/7*(5000+220+348.3+99/99*1411.5+98031/98031*(60+9/9*60)+9/9*(8/8*163+8529)+2007/2007*160.9+10/10*(10000+4750+146.4+348.3)+11/11*(-5000+1000+64.8-1000)+12/12*(-2459+21+200))-R161)</f>
        <v>-7.275957614183426E-12</v>
      </c>
      <c r="S162" s="33"/>
      <c r="T162" s="45">
        <f>4076-T161</f>
        <v>0</v>
      </c>
      <c r="U162" s="45">
        <f>(87081.6+541.2)-U161</f>
        <v>-36067.40000000001</v>
      </c>
      <c r="V162" s="45">
        <f>87622.8*0+4/4*88031*0+5/5*97006*0+6/6*99666*0+7/7*105369.2*0+9/9*115618.7*0+10/10*130863.4*0+11/11*125928.2*0+12/12*127766.2-V161</f>
        <v>0</v>
      </c>
      <c r="W162" s="173">
        <f>2/2*25621149.09*0+3/3*(50467726.45-4134/4134*19354711.59)*0+4/4*(69471434.45-29820433.13)*0+5/5*(82501825.95-36439398.63)*0+6/6*(105237223.82-44309507.13)*0+7/7*(132479706.53-61741789.59)*0+9/9*(173400444.07-81237326.84)*0+10/10*(207192049.31-95574253.5)*0+11/11*(226786006.53-102972407.25)*0+12/12*(237271379.32-112205632.75)-W161</f>
        <v>0</v>
      </c>
    </row>
    <row r="163" spans="1:23" ht="12.75">
      <c r="A163" s="257"/>
      <c r="B163" s="257"/>
      <c r="C163" s="257"/>
      <c r="D163" s="257"/>
      <c r="E163" s="257"/>
      <c r="F163" s="257"/>
      <c r="G163" s="257"/>
      <c r="H163" s="257"/>
      <c r="I163" s="257"/>
      <c r="J163" s="258"/>
      <c r="O163" s="60"/>
      <c r="P163" s="61"/>
      <c r="Q163" s="100"/>
      <c r="R163" s="100"/>
      <c r="S163" s="100"/>
      <c r="T163" s="100"/>
      <c r="U163" s="100"/>
      <c r="V163" s="45">
        <f>I161-V161</f>
        <v>1717.2999999999884</v>
      </c>
      <c r="W163" s="197">
        <f>W160-J160</f>
        <v>-480633.4399999976</v>
      </c>
    </row>
    <row r="164" spans="1:23" ht="13.5" thickBot="1">
      <c r="A164" s="257"/>
      <c r="B164" s="257"/>
      <c r="C164" s="257"/>
      <c r="D164" s="257"/>
      <c r="E164" s="257"/>
      <c r="F164" s="257"/>
      <c r="G164" s="257"/>
      <c r="H164" s="257"/>
      <c r="I164" s="257"/>
      <c r="J164" s="258"/>
      <c r="O164" s="60"/>
      <c r="P164" s="61"/>
      <c r="Q164" s="100"/>
      <c r="R164" s="100"/>
      <c r="S164" s="100"/>
      <c r="T164" s="100"/>
      <c r="U164" s="100"/>
      <c r="V164" s="45">
        <f>V163+V162</f>
        <v>1717.2999999999884</v>
      </c>
      <c r="W164" s="197"/>
    </row>
    <row r="165" spans="1:23" ht="14.25" thickBot="1" thickTop="1">
      <c r="A165" s="257"/>
      <c r="B165" s="257"/>
      <c r="C165" s="257"/>
      <c r="D165" s="257"/>
      <c r="E165" s="257"/>
      <c r="F165" s="257"/>
      <c r="G165" s="257"/>
      <c r="H165" s="257"/>
      <c r="I165" s="257"/>
      <c r="J165" s="258"/>
      <c r="O165" s="62"/>
      <c r="P165" s="63" t="s">
        <v>200</v>
      </c>
      <c r="Q165" s="101">
        <f>Q108-D108</f>
        <v>0</v>
      </c>
      <c r="R165" s="101">
        <f>R108-E108</f>
        <v>160.89999999999986</v>
      </c>
      <c r="S165" s="98"/>
      <c r="T165" s="101">
        <f>T108-G108</f>
        <v>4076</v>
      </c>
      <c r="U165" s="99" t="e">
        <f>#REF!-#REF!</f>
        <v>#REF!</v>
      </c>
      <c r="V165" s="259"/>
      <c r="W165" s="198">
        <f>W108-J108</f>
        <v>528955.9900000095</v>
      </c>
    </row>
    <row r="166" spans="1:23" ht="14.25" thickBot="1" thickTop="1">
      <c r="A166" s="257"/>
      <c r="B166" s="257"/>
      <c r="C166" s="257"/>
      <c r="D166" s="257"/>
      <c r="E166" s="257"/>
      <c r="F166" s="257"/>
      <c r="G166" s="257"/>
      <c r="H166" s="257"/>
      <c r="I166" s="257"/>
      <c r="J166" s="258"/>
      <c r="K166" s="260"/>
      <c r="L166" s="260"/>
      <c r="M166" s="260"/>
      <c r="N166" s="260"/>
      <c r="O166" s="62"/>
      <c r="P166" s="63" t="s">
        <v>111</v>
      </c>
      <c r="Q166" s="101">
        <f>Q160-D160</f>
        <v>0</v>
      </c>
      <c r="R166" s="101">
        <f>R160-E160</f>
        <v>-1878.199999999997</v>
      </c>
      <c r="S166" s="98"/>
      <c r="T166" s="101">
        <f>T160-G160</f>
        <v>0</v>
      </c>
      <c r="U166" s="99">
        <f>U160-H160</f>
        <v>-1878.199999999997</v>
      </c>
      <c r="V166" s="259"/>
      <c r="W166" s="198">
        <f>W160-J160</f>
        <v>-480633.4399999976</v>
      </c>
    </row>
    <row r="167" spans="1:23" ht="14.25" thickBot="1" thickTop="1">
      <c r="A167" s="257"/>
      <c r="B167" s="257"/>
      <c r="C167" s="257"/>
      <c r="D167" s="257"/>
      <c r="E167" s="257"/>
      <c r="F167" s="257"/>
      <c r="G167" s="257"/>
      <c r="H167" s="257"/>
      <c r="I167" s="257"/>
      <c r="J167" s="258"/>
      <c r="K167" s="260"/>
      <c r="L167" s="260"/>
      <c r="M167" s="260"/>
      <c r="N167" s="260"/>
      <c r="O167" s="62"/>
      <c r="P167" s="63" t="s">
        <v>112</v>
      </c>
      <c r="Q167" s="101">
        <f>Q161-D161</f>
        <v>0</v>
      </c>
      <c r="R167" s="101">
        <f>R161-E161</f>
        <v>-1717.300000000003</v>
      </c>
      <c r="S167" s="98"/>
      <c r="T167" s="101">
        <f>T161-G161</f>
        <v>4076</v>
      </c>
      <c r="U167" s="99">
        <f>U161-H161</f>
        <v>-1717.2999999999884</v>
      </c>
      <c r="V167" s="259"/>
      <c r="W167" s="198">
        <f>W161-J161</f>
        <v>48322.55000001192</v>
      </c>
    </row>
    <row r="168" spans="1:23" ht="14.25" thickBot="1" thickTop="1">
      <c r="A168" s="257"/>
      <c r="B168" s="257"/>
      <c r="C168" s="257"/>
      <c r="D168" s="257"/>
      <c r="E168" s="257"/>
      <c r="F168" s="257"/>
      <c r="G168" s="257"/>
      <c r="H168" s="257"/>
      <c r="I168" s="257"/>
      <c r="J168" s="258"/>
      <c r="K168" s="260"/>
      <c r="L168" s="260"/>
      <c r="M168" s="260"/>
      <c r="N168" s="260"/>
      <c r="O168" s="33"/>
      <c r="P168" s="33"/>
      <c r="Q168" s="33"/>
      <c r="V168" s="261" t="s">
        <v>201</v>
      </c>
      <c r="W168" s="173">
        <f>W167+J77</f>
        <v>880097.5500000119</v>
      </c>
    </row>
    <row r="169" spans="1:23" ht="13.5" thickTop="1">
      <c r="A169" s="257"/>
      <c r="B169" s="257"/>
      <c r="C169" s="257"/>
      <c r="D169" s="257"/>
      <c r="E169" s="257"/>
      <c r="F169" s="257"/>
      <c r="G169" s="257"/>
      <c r="H169" s="257"/>
      <c r="I169" s="257"/>
      <c r="J169" s="258"/>
      <c r="K169" s="260"/>
      <c r="L169" s="260"/>
      <c r="M169" s="260"/>
      <c r="N169" s="260"/>
      <c r="O169" s="33"/>
      <c r="P169" s="158" t="s">
        <v>202</v>
      </c>
      <c r="Q169" s="33"/>
      <c r="R169" s="105">
        <f>336.9+1000+390.5+150.8</f>
        <v>1878.2</v>
      </c>
      <c r="U169" s="159" t="s">
        <v>117</v>
      </c>
      <c r="V169" s="105">
        <f>R169+V162</f>
        <v>1878.2</v>
      </c>
      <c r="W169" s="191"/>
    </row>
    <row r="170" spans="1:23" ht="13.5" thickBot="1">
      <c r="A170" s="257"/>
      <c r="B170" s="257"/>
      <c r="C170" s="257"/>
      <c r="D170" s="257"/>
      <c r="E170" s="257"/>
      <c r="F170" s="257"/>
      <c r="G170" s="257"/>
      <c r="H170" s="257"/>
      <c r="I170" s="257"/>
      <c r="J170" s="258"/>
      <c r="K170" s="260"/>
      <c r="L170" s="260"/>
      <c r="M170" s="260"/>
      <c r="N170" s="260"/>
      <c r="O170" s="33"/>
      <c r="P170" s="33"/>
      <c r="Q170" s="33"/>
      <c r="R170" s="105" t="s">
        <v>203</v>
      </c>
      <c r="U170" s="160"/>
      <c r="V170" s="33"/>
      <c r="W170" s="191"/>
    </row>
    <row r="171" spans="1:10" ht="13.5" thickTop="1">
      <c r="A171" s="257"/>
      <c r="B171" s="257"/>
      <c r="C171" s="257"/>
      <c r="D171" s="257"/>
      <c r="E171" s="257"/>
      <c r="F171" s="257"/>
      <c r="G171" s="257"/>
      <c r="H171" s="257"/>
      <c r="I171" s="257"/>
      <c r="J171" s="258"/>
    </row>
    <row r="172" spans="1:23" ht="12.75">
      <c r="A172" s="257"/>
      <c r="B172" s="257"/>
      <c r="C172" s="257"/>
      <c r="D172" s="257"/>
      <c r="E172" s="257"/>
      <c r="F172" s="257"/>
      <c r="G172" s="257"/>
      <c r="H172" s="257"/>
      <c r="I172" s="257"/>
      <c r="J172" s="258"/>
      <c r="P172" s="262"/>
      <c r="W172" s="199"/>
    </row>
    <row r="173" spans="1:23" ht="12.75">
      <c r="A173" s="257"/>
      <c r="B173" s="257"/>
      <c r="C173" s="257"/>
      <c r="D173" s="257"/>
      <c r="E173" s="257"/>
      <c r="F173" s="257"/>
      <c r="G173" s="257"/>
      <c r="H173" s="257"/>
      <c r="I173" s="257"/>
      <c r="J173" s="258"/>
      <c r="P173" s="262"/>
      <c r="W173" s="199"/>
    </row>
    <row r="174" spans="1:23" ht="12.75">
      <c r="A174" s="257"/>
      <c r="B174" s="257"/>
      <c r="C174" s="257"/>
      <c r="D174" s="257"/>
      <c r="E174" s="257"/>
      <c r="F174" s="257"/>
      <c r="G174" s="257"/>
      <c r="H174" s="257"/>
      <c r="I174" s="257"/>
      <c r="J174" s="258"/>
      <c r="P174" s="262"/>
      <c r="W174" s="199"/>
    </row>
    <row r="175" spans="1:23" ht="12.75">
      <c r="A175" s="257"/>
      <c r="B175" s="257"/>
      <c r="C175" s="257"/>
      <c r="D175" s="257"/>
      <c r="E175" s="257"/>
      <c r="F175" s="257"/>
      <c r="G175" s="257"/>
      <c r="H175" s="257"/>
      <c r="I175" s="257"/>
      <c r="J175" s="258"/>
      <c r="P175" s="262"/>
      <c r="W175" s="199"/>
    </row>
    <row r="176" spans="1:23" ht="12.75">
      <c r="A176" s="257"/>
      <c r="B176" s="257"/>
      <c r="C176" s="257"/>
      <c r="D176" s="257"/>
      <c r="E176" s="257"/>
      <c r="F176" s="257"/>
      <c r="G176" s="257"/>
      <c r="H176" s="257"/>
      <c r="I176" s="257"/>
      <c r="J176" s="258"/>
      <c r="P176" s="263"/>
      <c r="W176" s="200"/>
    </row>
    <row r="177" spans="1:10" ht="12.75">
      <c r="A177" s="257"/>
      <c r="B177" s="257"/>
      <c r="C177" s="257"/>
      <c r="D177" s="257"/>
      <c r="E177" s="257"/>
      <c r="F177" s="257"/>
      <c r="G177" s="257"/>
      <c r="H177" s="257"/>
      <c r="I177" s="257"/>
      <c r="J177" s="258"/>
    </row>
    <row r="178" spans="1:10" ht="12.75">
      <c r="A178" s="257"/>
      <c r="B178" s="257"/>
      <c r="C178" s="257"/>
      <c r="D178" s="257"/>
      <c r="E178" s="257"/>
      <c r="F178" s="257"/>
      <c r="G178" s="257"/>
      <c r="H178" s="257"/>
      <c r="I178" s="257"/>
      <c r="J178" s="258"/>
    </row>
    <row r="179" spans="1:10" ht="12.75">
      <c r="A179" s="257"/>
      <c r="B179" s="257"/>
      <c r="C179" s="257"/>
      <c r="D179" s="257"/>
      <c r="E179" s="257"/>
      <c r="F179" s="257"/>
      <c r="G179" s="257"/>
      <c r="H179" s="257"/>
      <c r="I179" s="257"/>
      <c r="J179" s="258"/>
    </row>
  </sheetData>
  <sheetProtection password="CC4F" sheet="1" objects="1" scenarios="1"/>
  <mergeCells count="16">
    <mergeCell ref="A2:C3"/>
    <mergeCell ref="D2:J2"/>
    <mergeCell ref="O2:P3"/>
    <mergeCell ref="Q2:W2"/>
    <mergeCell ref="O6:P6"/>
    <mergeCell ref="O9:P9"/>
    <mergeCell ref="A10:B10"/>
    <mergeCell ref="O71:P71"/>
    <mergeCell ref="A60:B60"/>
    <mergeCell ref="A88:B88"/>
    <mergeCell ref="A107:B107"/>
    <mergeCell ref="A87:C87"/>
    <mergeCell ref="A31:B31"/>
    <mergeCell ref="A49:B49"/>
    <mergeCell ref="A57:B57"/>
    <mergeCell ref="A66:B66"/>
  </mergeCells>
  <printOptions/>
  <pageMargins left="0.5905511811023623" right="0" top="0.3937007874015748" bottom="0.5905511811023623" header="0.11811023622047245" footer="0.11811023622047245"/>
  <pageSetup horizontalDpi="360" verticalDpi="360" orientation="portrait" paperSize="9" scale="70" r:id="rId1"/>
  <headerFooter alignWithMargins="0">
    <oddHeader>&amp;L&amp;"Arial CE,tučné"Závěrečný účet přehled hospodaření 2008&amp;Cpříl 2a/&amp;R&amp;"Arial CE,tučné"ZMČ 17.6.2009</oddHeader>
    <oddFooter>&amp;LMarta Tišlová OE ÚMČ P 16&amp;R&amp;P</oddFooter>
  </headerFooter>
  <rowBreaks count="2" manualBreakCount="2">
    <brk id="6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 Tišlová</cp:lastModifiedBy>
  <cp:lastPrinted>2009-06-03T10:04:30Z</cp:lastPrinted>
  <dcterms:created xsi:type="dcterms:W3CDTF">2008-01-28T22:55:25Z</dcterms:created>
  <dcterms:modified xsi:type="dcterms:W3CDTF">2011-02-08T09:38:14Z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