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8835" windowHeight="75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'List1'!$A:$A,'List1'!$1:$2</definedName>
  </definedNames>
  <calcPr fullCalcOnLoad="1"/>
</workbook>
</file>

<file path=xl/sharedStrings.xml><?xml version="1.0" encoding="utf-8"?>
<sst xmlns="http://schemas.openxmlformats.org/spreadsheetml/2006/main" count="85" uniqueCount="79">
  <si>
    <t>3421 dětská hřiště</t>
  </si>
  <si>
    <t>3111 mat.škola</t>
  </si>
  <si>
    <t>3113 zákl.škola</t>
  </si>
  <si>
    <t>3141 škol.jídelna</t>
  </si>
  <si>
    <t>3231 zákl.uměl.</t>
  </si>
  <si>
    <t>4351/1,2 domy s peč.sl</t>
  </si>
  <si>
    <t>4351 peč.služba</t>
  </si>
  <si>
    <t>4319 soc. péče</t>
  </si>
  <si>
    <t>4359 ost.soc</t>
  </si>
  <si>
    <t>05                                SOC. A  ZDRAV.</t>
  </si>
  <si>
    <t>04                                Š K O L S T V Í</t>
  </si>
  <si>
    <t>3313 kino</t>
  </si>
  <si>
    <t>3314 knihovna</t>
  </si>
  <si>
    <t>3319 kult.střed</t>
  </si>
  <si>
    <t>3319 kult.akce</t>
  </si>
  <si>
    <t>5512 dobrov.hasiči</t>
  </si>
  <si>
    <t>08      HOSPODÁŘSTVÍ</t>
  </si>
  <si>
    <t>3612 bytové hosp.</t>
  </si>
  <si>
    <t>3639,3632 techn.sl</t>
  </si>
  <si>
    <t>09                                     VNITŘNÍ  SPRÁVA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</si>
  <si>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</si>
  <si>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</si>
  <si>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</si>
  <si>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</si>
  <si>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</si>
  <si>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</si>
  <si>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10                              FINANCOVÁNÍ</t>
  </si>
  <si>
    <t>MČ CELKEM</t>
  </si>
  <si>
    <t>V Ý D A J E</t>
  </si>
  <si>
    <t>P Ř Í J M Y</t>
  </si>
  <si>
    <t>2460 splátky půjček SFZ</t>
  </si>
  <si>
    <t>2141 úroky</t>
  </si>
  <si>
    <t>2343 dobýv.prostor</t>
  </si>
  <si>
    <r>
      <t>dary</t>
    </r>
    <r>
      <rPr>
        <sz val="7"/>
        <rFont val="Arial"/>
        <family val="2"/>
      </rPr>
      <t xml:space="preserve"> 2321 neinv 3121 inv 4129 SO</t>
    </r>
  </si>
  <si>
    <t>4131 z účtu ekon.činnosti</t>
  </si>
  <si>
    <t>1511 daň z nemovitostí</t>
  </si>
  <si>
    <t>1361 správní poplatky</t>
  </si>
  <si>
    <t>1341-5,7,51 místní poplatky</t>
  </si>
  <si>
    <t>dotace stát:</t>
  </si>
  <si>
    <t>3636 územní rozvoj</t>
  </si>
  <si>
    <t>3745 veřejná zeleň</t>
  </si>
  <si>
    <t>3639 komun.služby</t>
  </si>
  <si>
    <t>2219 ost.zál.komun</t>
  </si>
  <si>
    <t>2212 silnice</t>
  </si>
  <si>
    <t>3539 digit.rentgen</t>
  </si>
  <si>
    <t>01                             ÚZEMNÍ  ROZVOJ</t>
  </si>
  <si>
    <t>02                             INFRASTRUKTURA</t>
  </si>
  <si>
    <t>3412 sport.zař</t>
  </si>
  <si>
    <t>4359 péče soc.péče</t>
  </si>
  <si>
    <t>03                                D O P R A V A</t>
  </si>
  <si>
    <t>4112 dotace stát:</t>
  </si>
  <si>
    <r>
      <t>221</t>
    </r>
    <r>
      <rPr>
        <sz val="7"/>
        <rFont val="Arial"/>
        <family val="2"/>
      </rPr>
      <t>2</t>
    </r>
    <r>
      <rPr>
        <sz val="7"/>
        <rFont val="Arial"/>
        <family val="0"/>
      </rPr>
      <t xml:space="preserve"> sankce</t>
    </r>
  </si>
  <si>
    <t>R 2012</t>
  </si>
  <si>
    <t>4121 výnos DPPO za 2011</t>
  </si>
  <si>
    <t>SPOD</t>
  </si>
  <si>
    <t>3541 prevence</t>
  </si>
  <si>
    <t>4121 HMP+obce dotace</t>
  </si>
  <si>
    <t>Upravený rozpočet 06/2012</t>
  </si>
  <si>
    <r>
      <t>07                                  B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E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Z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P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E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Č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N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O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S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T</t>
    </r>
  </si>
  <si>
    <r>
      <t>06                       KULTURA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A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SPORT</t>
    </r>
  </si>
  <si>
    <r>
      <t>Úprava ZMČ</t>
    </r>
    <r>
      <rPr>
        <sz val="8"/>
        <rFont val="Arial"/>
        <family val="2"/>
      </rPr>
      <t xml:space="preserve"> 28.3.2012</t>
    </r>
  </si>
  <si>
    <r>
      <t>Návrh úpravy ZMČ</t>
    </r>
    <r>
      <rPr>
        <sz val="8"/>
        <rFont val="Arial"/>
        <family val="2"/>
      </rPr>
      <t xml:space="preserve"> 20.6.2012</t>
    </r>
  </si>
  <si>
    <t>v tom Sídl BD měř 1500 okna 369 zatepl 3000</t>
  </si>
  <si>
    <t>v tom: studie 1000 +rezerva inv 2000</t>
  </si>
  <si>
    <r>
      <t xml:space="preserve">2329 nahod </t>
    </r>
    <r>
      <rPr>
        <sz val="7"/>
        <rFont val="Arial"/>
        <family val="2"/>
      </rPr>
      <t>(z r. 2011), 2322 poj.pln</t>
    </r>
  </si>
  <si>
    <r>
      <t xml:space="preserve">2310 </t>
    </r>
    <r>
      <rPr>
        <sz val="8"/>
        <rFont val="Arial"/>
        <family val="2"/>
      </rPr>
      <t>voda</t>
    </r>
    <r>
      <rPr>
        <sz val="7"/>
        <rFont val="Arial"/>
        <family val="2"/>
      </rPr>
      <t xml:space="preserve"> 2321</t>
    </r>
    <r>
      <rPr>
        <sz val="8"/>
        <rFont val="Arial"/>
        <family val="2"/>
      </rPr>
      <t xml:space="preserve"> odp. voda</t>
    </r>
    <r>
      <rPr>
        <sz val="7"/>
        <rFont val="Arial"/>
        <family val="2"/>
      </rPr>
      <t xml:space="preserve"> 3722</t>
    </r>
    <r>
      <rPr>
        <sz val="8"/>
        <rFont val="Arial"/>
        <family val="2"/>
      </rPr>
      <t xml:space="preserve"> odpady</t>
    </r>
  </si>
  <si>
    <t>v tom MŠ zatepl 1000+4000 HMP</t>
  </si>
  <si>
    <t>FV 2011</t>
  </si>
  <si>
    <r>
      <t>4379 péče</t>
    </r>
    <r>
      <rPr>
        <sz val="8"/>
        <rFont val="Arial"/>
        <family val="2"/>
      </rPr>
      <t xml:space="preserve"> o seniory</t>
    </r>
  </si>
  <si>
    <r>
      <t>4329 péče</t>
    </r>
    <r>
      <rPr>
        <sz val="8"/>
        <rFont val="Arial"/>
        <family val="2"/>
      </rPr>
      <t xml:space="preserve"> o mládež</t>
    </r>
  </si>
  <si>
    <r>
      <t>4351/4</t>
    </r>
    <r>
      <rPr>
        <sz val="8"/>
        <rFont val="Arial"/>
        <family val="2"/>
      </rPr>
      <t xml:space="preserve"> přísp.</t>
    </r>
    <r>
      <rPr>
        <sz val="9"/>
        <rFont val="Arial"/>
        <family val="0"/>
      </rPr>
      <t>stravné</t>
    </r>
  </si>
  <si>
    <r>
      <t>3319 kronika,</t>
    </r>
    <r>
      <rPr>
        <sz val="8"/>
        <rFont val="Arial"/>
        <family val="2"/>
      </rPr>
      <t>letopis</t>
    </r>
  </si>
  <si>
    <t>Usnesení zastupitelstva č. 4</t>
  </si>
  <si>
    <t>Úprava rozpočtu MČ Praha 16 na rok 2012</t>
  </si>
  <si>
    <r>
      <t>Číslo zastupitelstva:</t>
    </r>
    <r>
      <rPr>
        <sz val="8"/>
        <color indexed="8"/>
        <rFont val="Verdana"/>
        <family val="2"/>
      </rPr>
      <t xml:space="preserve"> 9</t>
    </r>
  </si>
  <si>
    <t>č. 4</t>
  </si>
  <si>
    <t>Ze dne 20.6.2012</t>
  </si>
  <si>
    <t>s c h v a l u j e</t>
  </si>
  <si>
    <t>úpravu rozpočtu Městské části Praha 16 na rok 2012 v oblasti příjmů +6.095,3 tis. Kč a výdajů +8.802,9 tis. Kč na celkovou výši příjmů 102.094,6 a výdajů 104.802,2 tis. Kč.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</si>
</sst>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7"/>
      <name val="Arial"/>
      <family val="2"/>
    </font>
    <font>
      <sz val="7"/>
      <name val="Arial CE"/>
      <family val="0"/>
    </font>
    <font>
      <i/>
      <sz val="7"/>
      <name val="Arial CE"/>
      <family val="2"/>
    </font>
    <font>
      <sz val="7"/>
      <color indexed="12"/>
      <name val="Arial CE"/>
      <family val="0"/>
    </font>
    <font>
      <sz val="8"/>
      <color indexed="10"/>
      <name val="Arial"/>
      <family val="0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0" fontId="2" fillId="3" borderId="5" xfId="0" applyFont="1" applyFill="1" applyBorder="1" applyAlignment="1">
      <alignment wrapText="1"/>
    </xf>
    <xf numFmtId="164" fontId="4" fillId="3" borderId="6" xfId="0" applyNumberFormat="1" applyFont="1" applyFill="1" applyBorder="1" applyAlignment="1">
      <alignment/>
    </xf>
    <xf numFmtId="164" fontId="4" fillId="3" borderId="7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5" fillId="0" borderId="3" xfId="0" applyFont="1" applyFill="1" applyBorder="1" applyAlignment="1">
      <alignment/>
    </xf>
    <xf numFmtId="0" fontId="8" fillId="0" borderId="8" xfId="0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wrapText="1"/>
    </xf>
    <xf numFmtId="164" fontId="10" fillId="0" borderId="3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9" fillId="0" borderId="3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164" fontId="9" fillId="0" borderId="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64" fontId="0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3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164" fontId="8" fillId="3" borderId="6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64" fontId="7" fillId="0" borderId="3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3" borderId="6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0" fontId="11" fillId="0" borderId="3" xfId="0" applyNumberFormat="1" applyFont="1" applyFill="1" applyBorder="1" applyAlignment="1">
      <alignment wrapText="1"/>
    </xf>
    <xf numFmtId="164" fontId="2" fillId="2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164" fontId="12" fillId="3" borderId="6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164" fontId="1" fillId="0" borderId="3" xfId="0" applyNumberFormat="1" applyFont="1" applyFill="1" applyBorder="1" applyAlignment="1">
      <alignment/>
    </xf>
    <xf numFmtId="0" fontId="14" fillId="0" borderId="9" xfId="0" applyFont="1" applyBorder="1" applyAlignment="1">
      <alignment horizontal="justify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9" xfId="0" applyFont="1" applyBorder="1" applyAlignment="1">
      <alignment horizontal="justify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9" xfId="0" applyFont="1" applyBorder="1" applyAlignment="1">
      <alignment horizontal="justify"/>
    </xf>
    <xf numFmtId="0" fontId="0" fillId="0" borderId="0" xfId="0" applyBorder="1" applyAlignment="1">
      <alignment/>
    </xf>
    <xf numFmtId="0" fontId="14" fillId="0" borderId="11" xfId="0" applyFont="1" applyBorder="1" applyAlignment="1">
      <alignment horizontal="justify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8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justify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9" xfId="0" applyFont="1" applyBorder="1" applyAlignment="1">
      <alignment horizontal="justify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5" zoomScaleNormal="85" workbookViewId="0" topLeftCell="A1">
      <pane xSplit="1" ySplit="2" topLeftCell="B6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72" sqref="O72"/>
    </sheetView>
  </sheetViews>
  <sheetFormatPr defaultColWidth="9.140625" defaultRowHeight="12.75"/>
  <cols>
    <col min="1" max="1" width="16.7109375" style="2" customWidth="1"/>
    <col min="2" max="2" width="8.140625" style="57" customWidth="1"/>
    <col min="3" max="4" width="7.7109375" style="70" customWidth="1"/>
    <col min="5" max="5" width="3.7109375" style="57" hidden="1" customWidth="1"/>
    <col min="6" max="6" width="9.28125" style="58" customWidth="1"/>
    <col min="7" max="7" width="11.7109375" style="25" customWidth="1"/>
    <col min="8" max="8" width="15.7109375" style="35" customWidth="1"/>
    <col min="9" max="9" width="8.140625" style="57" customWidth="1"/>
    <col min="10" max="10" width="7.7109375" style="70" customWidth="1"/>
    <col min="11" max="11" width="8.7109375" style="70" customWidth="1"/>
    <col min="12" max="12" width="3.7109375" style="58" hidden="1" customWidth="1"/>
    <col min="13" max="13" width="9.28125" style="58" customWidth="1"/>
    <col min="14" max="16384" width="9.140625" style="44" customWidth="1"/>
  </cols>
  <sheetData>
    <row r="1" spans="1:13" s="17" customFormat="1" ht="13.5" thickTop="1">
      <c r="A1" s="3"/>
      <c r="B1" s="84" t="s">
        <v>28</v>
      </c>
      <c r="C1" s="84"/>
      <c r="D1" s="84"/>
      <c r="E1" s="84"/>
      <c r="F1" s="84"/>
      <c r="G1" s="22"/>
      <c r="H1" s="27"/>
      <c r="I1" s="84" t="s">
        <v>29</v>
      </c>
      <c r="J1" s="84"/>
      <c r="K1" s="84"/>
      <c r="L1" s="84"/>
      <c r="M1" s="85"/>
    </row>
    <row r="2" spans="1:13" s="1" customFormat="1" ht="58.5">
      <c r="A2" s="4"/>
      <c r="B2" s="38" t="s">
        <v>52</v>
      </c>
      <c r="C2" s="69" t="s">
        <v>60</v>
      </c>
      <c r="D2" s="69" t="s">
        <v>61</v>
      </c>
      <c r="E2" s="39"/>
      <c r="F2" s="38" t="s">
        <v>57</v>
      </c>
      <c r="G2" s="40"/>
      <c r="H2" s="28"/>
      <c r="I2" s="38" t="s">
        <v>52</v>
      </c>
      <c r="J2" s="69" t="s">
        <v>60</v>
      </c>
      <c r="K2" s="69" t="s">
        <v>61</v>
      </c>
      <c r="L2" s="39"/>
      <c r="M2" s="41" t="s">
        <v>57</v>
      </c>
    </row>
    <row r="3" spans="1:13" ht="12.75">
      <c r="A3" s="5" t="s">
        <v>39</v>
      </c>
      <c r="B3" s="6"/>
      <c r="C3" s="50"/>
      <c r="D3" s="50">
        <v>150</v>
      </c>
      <c r="E3" s="6"/>
      <c r="F3" s="6">
        <f>SUM(B3:E3)</f>
        <v>150</v>
      </c>
      <c r="G3" s="23"/>
      <c r="H3" s="21"/>
      <c r="I3" s="42"/>
      <c r="J3" s="50"/>
      <c r="K3" s="50"/>
      <c r="L3" s="42"/>
      <c r="M3" s="43">
        <f>SUM(I3:L3)</f>
        <v>0</v>
      </c>
    </row>
    <row r="4" spans="1:13" ht="12.75" hidden="1">
      <c r="A4" s="5"/>
      <c r="B4" s="42"/>
      <c r="C4" s="50"/>
      <c r="D4" s="50"/>
      <c r="E4" s="42"/>
      <c r="F4" s="42"/>
      <c r="G4" s="23"/>
      <c r="H4" s="21"/>
      <c r="I4" s="42"/>
      <c r="J4" s="50"/>
      <c r="K4" s="50"/>
      <c r="L4" s="42"/>
      <c r="M4" s="43"/>
    </row>
    <row r="5" spans="1:13" s="17" customFormat="1" ht="24">
      <c r="A5" s="10" t="s">
        <v>45</v>
      </c>
      <c r="B5" s="11">
        <f>SUM(B3:B4)</f>
        <v>0</v>
      </c>
      <c r="C5" s="11">
        <f>SUM(C3:C4)</f>
        <v>0</v>
      </c>
      <c r="D5" s="11">
        <f>SUM(D3:D4)</f>
        <v>150</v>
      </c>
      <c r="E5" s="60">
        <f>SUM(E3:E4)</f>
        <v>0</v>
      </c>
      <c r="F5" s="11">
        <f>SUM(F3:F4)</f>
        <v>150</v>
      </c>
      <c r="G5" s="24"/>
      <c r="H5" s="21"/>
      <c r="I5" s="11">
        <f>SUM(I3:I4)</f>
        <v>0</v>
      </c>
      <c r="J5" s="11">
        <f>SUM(J3:J4)</f>
        <v>0</v>
      </c>
      <c r="K5" s="11">
        <f>SUM(K3:K4)</f>
        <v>0</v>
      </c>
      <c r="L5" s="60">
        <f>SUM(L3:L4)</f>
        <v>0</v>
      </c>
      <c r="M5" s="12">
        <f>SUM(M3:M4)</f>
        <v>0</v>
      </c>
    </row>
    <row r="6" spans="1:13" ht="12.75">
      <c r="A6" s="5" t="s">
        <v>0</v>
      </c>
      <c r="B6" s="6">
        <v>100</v>
      </c>
      <c r="C6" s="50"/>
      <c r="D6" s="50"/>
      <c r="E6" s="6"/>
      <c r="F6" s="6">
        <f>SUM(B6:E6)</f>
        <v>100</v>
      </c>
      <c r="G6" s="23"/>
      <c r="H6" s="21"/>
      <c r="I6" s="42"/>
      <c r="J6" s="50"/>
      <c r="K6" s="50"/>
      <c r="L6" s="42"/>
      <c r="M6" s="43">
        <f>SUM(I6:L6)</f>
        <v>0</v>
      </c>
    </row>
    <row r="7" spans="1:13" ht="22.5">
      <c r="A7" s="68" t="s">
        <v>65</v>
      </c>
      <c r="B7" s="42">
        <f>2321/2321*50+3722/3722*500</f>
        <v>550</v>
      </c>
      <c r="C7" s="50">
        <f>2/2*4200</f>
        <v>4200</v>
      </c>
      <c r="D7" s="50"/>
      <c r="E7" s="42"/>
      <c r="F7" s="42">
        <f>SUM(B7:E7)</f>
        <v>4750</v>
      </c>
      <c r="G7" s="23"/>
      <c r="H7" s="21"/>
      <c r="I7" s="42"/>
      <c r="J7" s="50"/>
      <c r="K7" s="50"/>
      <c r="L7" s="42"/>
      <c r="M7" s="43">
        <f>SUM(I7:L7)</f>
        <v>0</v>
      </c>
    </row>
    <row r="8" spans="1:13" ht="12.75" hidden="1">
      <c r="A8" s="5" t="s">
        <v>41</v>
      </c>
      <c r="B8" s="42"/>
      <c r="C8" s="50"/>
      <c r="D8" s="50"/>
      <c r="E8" s="42"/>
      <c r="F8" s="42">
        <f>SUM(B8:E8)</f>
        <v>0</v>
      </c>
      <c r="G8" s="23"/>
      <c r="H8" s="21"/>
      <c r="I8" s="42"/>
      <c r="J8" s="50"/>
      <c r="K8" s="50"/>
      <c r="L8" s="42"/>
      <c r="M8" s="43">
        <f>SUM(I8:L8)</f>
        <v>0</v>
      </c>
    </row>
    <row r="9" spans="1:13" ht="12.75">
      <c r="A9" s="5" t="s">
        <v>40</v>
      </c>
      <c r="B9" s="42">
        <v>100</v>
      </c>
      <c r="C9" s="50"/>
      <c r="D9" s="50">
        <v>233</v>
      </c>
      <c r="E9" s="42"/>
      <c r="F9" s="42">
        <f>SUM(B9:E9)</f>
        <v>333</v>
      </c>
      <c r="G9" s="23"/>
      <c r="H9" s="21"/>
      <c r="I9" s="42"/>
      <c r="J9" s="50"/>
      <c r="K9" s="50"/>
      <c r="L9" s="42"/>
      <c r="M9" s="43">
        <f>SUM(I9:L9)</f>
        <v>0</v>
      </c>
    </row>
    <row r="10" spans="1:13" s="17" customFormat="1" ht="24">
      <c r="A10" s="10" t="s">
        <v>46</v>
      </c>
      <c r="B10" s="11">
        <f>SUM(B6:B9)</f>
        <v>750</v>
      </c>
      <c r="C10" s="11">
        <f>SUM(C6:C9)</f>
        <v>4200</v>
      </c>
      <c r="D10" s="11">
        <f>SUM(D6:D9)</f>
        <v>233</v>
      </c>
      <c r="E10" s="60">
        <f>SUM(E6:E9)</f>
        <v>0</v>
      </c>
      <c r="F10" s="11">
        <f>SUM(F6:F9)</f>
        <v>5183</v>
      </c>
      <c r="G10" s="24"/>
      <c r="H10" s="32"/>
      <c r="I10" s="11">
        <f>SUM(I6:I9)</f>
        <v>0</v>
      </c>
      <c r="J10" s="11">
        <f>SUM(J6:J9)</f>
        <v>0</v>
      </c>
      <c r="K10" s="11">
        <f>SUM(K6:K9)</f>
        <v>0</v>
      </c>
      <c r="L10" s="60">
        <f>SUM(L6:L9)</f>
        <v>0</v>
      </c>
      <c r="M10" s="12">
        <f>SUM(M6:M9)</f>
        <v>0</v>
      </c>
    </row>
    <row r="11" spans="1:13" ht="12.75">
      <c r="A11" s="5" t="s">
        <v>43</v>
      </c>
      <c r="B11" s="6">
        <f>500-300</f>
        <v>200</v>
      </c>
      <c r="C11" s="50"/>
      <c r="D11" s="50">
        <v>85</v>
      </c>
      <c r="E11" s="6"/>
      <c r="F11" s="6">
        <f>SUM(B11:E11)</f>
        <v>285</v>
      </c>
      <c r="G11" s="23"/>
      <c r="H11" s="29"/>
      <c r="I11" s="42"/>
      <c r="J11" s="50"/>
      <c r="K11" s="50"/>
      <c r="L11" s="42"/>
      <c r="M11" s="43">
        <f>SUM(I11:L11)</f>
        <v>0</v>
      </c>
    </row>
    <row r="12" spans="1:13" ht="12.75">
      <c r="A12" s="5" t="s">
        <v>42</v>
      </c>
      <c r="B12" s="42">
        <v>100</v>
      </c>
      <c r="C12" s="50"/>
      <c r="D12" s="50"/>
      <c r="E12" s="42"/>
      <c r="F12" s="42">
        <f>SUM(B12:E12)</f>
        <v>100</v>
      </c>
      <c r="G12" s="23"/>
      <c r="H12" s="21"/>
      <c r="I12" s="42"/>
      <c r="J12" s="50"/>
      <c r="K12" s="50"/>
      <c r="L12" s="42"/>
      <c r="M12" s="43">
        <f>SUM(I12:L12)</f>
        <v>0</v>
      </c>
    </row>
    <row r="13" spans="1:13" s="17" customFormat="1" ht="24">
      <c r="A13" s="10" t="s">
        <v>49</v>
      </c>
      <c r="B13" s="11">
        <f>SUM(B11:B12)</f>
        <v>300</v>
      </c>
      <c r="C13" s="11">
        <f>SUM(C11:C12)</f>
        <v>0</v>
      </c>
      <c r="D13" s="11">
        <f>SUM(D11:D12)</f>
        <v>85</v>
      </c>
      <c r="E13" s="60">
        <f>SUM(E11:E12)</f>
        <v>0</v>
      </c>
      <c r="F13" s="11">
        <f>SUM(F11:F12)</f>
        <v>385</v>
      </c>
      <c r="G13" s="24"/>
      <c r="H13" s="32"/>
      <c r="I13" s="11">
        <f>SUM(I11:I12)</f>
        <v>0</v>
      </c>
      <c r="J13" s="11">
        <f>SUM(J11:J12)</f>
        <v>0</v>
      </c>
      <c r="K13" s="11">
        <f>SUM(K11:K12)</f>
        <v>0</v>
      </c>
      <c r="L13" s="60">
        <f>SUM(L11:L12)</f>
        <v>0</v>
      </c>
      <c r="M13" s="12">
        <f>SUM(M11:M12)</f>
        <v>0</v>
      </c>
    </row>
    <row r="14" spans="1:13" s="18" customFormat="1" ht="19.5" customHeight="1">
      <c r="A14" s="5" t="s">
        <v>1</v>
      </c>
      <c r="B14" s="16">
        <f>(1580*1.05+1-1660*0)*(1+0.015*5)+15.1*0-1700*0+5.5-1790*0+(2500+200)</f>
        <v>4490</v>
      </c>
      <c r="C14" s="50"/>
      <c r="D14" s="50">
        <f>212.1+4000+16/16*(-1500+506)</f>
        <v>3218.1000000000004</v>
      </c>
      <c r="E14" s="8"/>
      <c r="F14" s="8">
        <f>SUM(B14:E14)</f>
        <v>7708.1</v>
      </c>
      <c r="G14" s="45" t="s">
        <v>66</v>
      </c>
      <c r="H14" s="30" t="s">
        <v>38</v>
      </c>
      <c r="I14" s="16">
        <f>((250+75)*0+2012/2012*(300*0+(75+50+127+48)))*(1397*0+1375*0+2012/2012*1360.2)/1000+0.125*0-0.06</f>
        <v>408</v>
      </c>
      <c r="J14" s="50"/>
      <c r="K14" s="50"/>
      <c r="L14" s="8"/>
      <c r="M14" s="9">
        <f>SUM(I14:L14)</f>
        <v>408</v>
      </c>
    </row>
    <row r="15" spans="1:13" s="18" customFormat="1" ht="12.75">
      <c r="A15" s="5" t="s">
        <v>2</v>
      </c>
      <c r="B15" s="16">
        <f>(3750*1.05+2.5-3940*0)*(1+0.015*5)+0.9*0-4000*0+4.5-4240*0</f>
        <v>4240</v>
      </c>
      <c r="C15" s="50"/>
      <c r="D15" s="50">
        <f>439.6+282+16/16*(1682+124)</f>
        <v>2527.6</v>
      </c>
      <c r="E15" s="8"/>
      <c r="F15" s="8">
        <f>SUM(B15:E15)</f>
        <v>6767.6</v>
      </c>
      <c r="G15" s="46"/>
      <c r="H15" s="30" t="s">
        <v>38</v>
      </c>
      <c r="I15" s="16">
        <f>(537*0+2012/2012*(617*0+619))*(1397*0+1375*0+2012/2012*1360.2)/1000-0.375*0-0.2434*0+0.0362</f>
        <v>842</v>
      </c>
      <c r="J15" s="50"/>
      <c r="K15" s="50"/>
      <c r="L15" s="8"/>
      <c r="M15" s="9">
        <f>SUM(I15:L15)</f>
        <v>842</v>
      </c>
    </row>
    <row r="16" spans="1:13" ht="12.75">
      <c r="A16" s="5" t="s">
        <v>3</v>
      </c>
      <c r="B16" s="16">
        <f>(1050*1.05-2.5-1100*0)*(1+0.015*5)+3.5*0-1120*0+7.5-1190*0</f>
        <v>1190</v>
      </c>
      <c r="C16" s="50"/>
      <c r="D16" s="50">
        <f>50.1</f>
        <v>50.1</v>
      </c>
      <c r="E16" s="8"/>
      <c r="F16" s="8">
        <f>SUM(B16:E16)</f>
        <v>1240.1</v>
      </c>
      <c r="G16" s="46"/>
      <c r="H16" s="31"/>
      <c r="I16" s="42"/>
      <c r="J16" s="50"/>
      <c r="K16" s="50"/>
      <c r="L16" s="42"/>
      <c r="M16" s="43">
        <f>SUM(I16:L16)</f>
        <v>0</v>
      </c>
    </row>
    <row r="17" spans="1:13" ht="12.75" hidden="1">
      <c r="A17" s="5" t="s">
        <v>4</v>
      </c>
      <c r="B17" s="42"/>
      <c r="C17" s="50"/>
      <c r="D17" s="50"/>
      <c r="E17" s="42"/>
      <c r="F17" s="42"/>
      <c r="G17" s="23"/>
      <c r="H17" s="21"/>
      <c r="I17" s="42"/>
      <c r="J17" s="50"/>
      <c r="K17" s="50"/>
      <c r="L17" s="42"/>
      <c r="M17" s="43"/>
    </row>
    <row r="18" spans="1:13" s="17" customFormat="1" ht="24">
      <c r="A18" s="10" t="s">
        <v>10</v>
      </c>
      <c r="B18" s="11">
        <f>SUM(B14:B17)</f>
        <v>9920</v>
      </c>
      <c r="C18" s="11">
        <f>SUM(C14:C17)</f>
        <v>0</v>
      </c>
      <c r="D18" s="11">
        <f>SUM(D14:D17)</f>
        <v>5795.800000000001</v>
      </c>
      <c r="E18" s="60">
        <f>SUM(E14:E17)</f>
        <v>0</v>
      </c>
      <c r="F18" s="11">
        <f>SUM(F14:F17)</f>
        <v>15715.800000000001</v>
      </c>
      <c r="G18" s="24"/>
      <c r="H18" s="32"/>
      <c r="I18" s="11">
        <f>SUM(I14:I17)</f>
        <v>1250</v>
      </c>
      <c r="J18" s="11">
        <f>SUM(J14:J17)</f>
        <v>0</v>
      </c>
      <c r="K18" s="11">
        <f>SUM(K14:K17)</f>
        <v>0</v>
      </c>
      <c r="L18" s="60">
        <f>SUM(L14:L17)</f>
        <v>0</v>
      </c>
      <c r="M18" s="12">
        <f>SUM(M14:M17)</f>
        <v>1250</v>
      </c>
    </row>
    <row r="19" spans="1:13" ht="12.75">
      <c r="A19" s="62" t="s">
        <v>5</v>
      </c>
      <c r="B19" s="6">
        <f>100+160</f>
        <v>260</v>
      </c>
      <c r="C19" s="50"/>
      <c r="D19" s="50"/>
      <c r="E19" s="6"/>
      <c r="F19" s="6">
        <f aca="true" t="shared" si="0" ref="F19:F28">SUM(B19:E19)</f>
        <v>260</v>
      </c>
      <c r="G19" s="23"/>
      <c r="H19" s="29"/>
      <c r="I19" s="42"/>
      <c r="J19" s="50"/>
      <c r="K19" s="50"/>
      <c r="L19" s="42"/>
      <c r="M19" s="43">
        <f aca="true" t="shared" si="1" ref="M19:M28">SUM(I19:L19)</f>
        <v>0</v>
      </c>
    </row>
    <row r="20" spans="1:13" ht="12.75">
      <c r="A20" s="5" t="s">
        <v>70</v>
      </c>
      <c r="B20" s="16">
        <f>12*121*(12*20)/1000+1.52</f>
        <v>350</v>
      </c>
      <c r="C20" s="50"/>
      <c r="D20" s="50"/>
      <c r="E20" s="8"/>
      <c r="F20" s="8">
        <f t="shared" si="0"/>
        <v>350</v>
      </c>
      <c r="G20" s="48"/>
      <c r="H20" s="31"/>
      <c r="I20" s="42"/>
      <c r="J20" s="50"/>
      <c r="K20" s="50"/>
      <c r="L20" s="42"/>
      <c r="M20" s="43">
        <f t="shared" si="1"/>
        <v>0</v>
      </c>
    </row>
    <row r="21" spans="1:13" s="49" customFormat="1" ht="12.75">
      <c r="A21" s="5" t="s">
        <v>6</v>
      </c>
      <c r="B21" s="16">
        <f>2446*1.1+9.4</f>
        <v>2700.0000000000005</v>
      </c>
      <c r="C21" s="50"/>
      <c r="D21" s="50"/>
      <c r="E21" s="8"/>
      <c r="F21" s="8">
        <f t="shared" si="0"/>
        <v>2700.0000000000005</v>
      </c>
      <c r="G21" s="46"/>
      <c r="H21" s="31"/>
      <c r="I21" s="59">
        <f>440*1.05+8</f>
        <v>470</v>
      </c>
      <c r="J21" s="50"/>
      <c r="K21" s="50"/>
      <c r="L21" s="47"/>
      <c r="M21" s="63">
        <f t="shared" si="1"/>
        <v>470</v>
      </c>
    </row>
    <row r="22" spans="1:13" s="18" customFormat="1" ht="12.75" hidden="1">
      <c r="A22" s="5" t="s">
        <v>44</v>
      </c>
      <c r="B22" s="16"/>
      <c r="C22" s="50"/>
      <c r="D22" s="50"/>
      <c r="E22" s="8"/>
      <c r="F22" s="8">
        <f t="shared" si="0"/>
        <v>0</v>
      </c>
      <c r="G22" s="46"/>
      <c r="H22" s="31"/>
      <c r="I22" s="16"/>
      <c r="J22" s="50"/>
      <c r="K22" s="50"/>
      <c r="L22" s="8"/>
      <c r="M22" s="9">
        <f t="shared" si="1"/>
        <v>0</v>
      </c>
    </row>
    <row r="23" spans="1:13" s="18" customFormat="1" ht="12.75">
      <c r="A23" s="5" t="s">
        <v>55</v>
      </c>
      <c r="B23" s="42"/>
      <c r="C23" s="50"/>
      <c r="D23" s="50">
        <v>50</v>
      </c>
      <c r="E23" s="8"/>
      <c r="F23" s="8">
        <f t="shared" si="0"/>
        <v>50</v>
      </c>
      <c r="G23" s="46"/>
      <c r="H23" s="31"/>
      <c r="I23" s="16"/>
      <c r="J23" s="50"/>
      <c r="K23" s="50"/>
      <c r="L23" s="8"/>
      <c r="M23" s="9"/>
    </row>
    <row r="24" spans="1:13" ht="12.75">
      <c r="A24" s="5" t="s">
        <v>7</v>
      </c>
      <c r="B24" s="8">
        <v>50</v>
      </c>
      <c r="C24" s="50"/>
      <c r="D24" s="50"/>
      <c r="E24" s="8"/>
      <c r="F24" s="8">
        <f t="shared" si="0"/>
        <v>50</v>
      </c>
      <c r="G24" s="23"/>
      <c r="H24" s="21"/>
      <c r="I24" s="42"/>
      <c r="J24" s="50"/>
      <c r="K24" s="50"/>
      <c r="L24" s="42"/>
      <c r="M24" s="43">
        <f t="shared" si="1"/>
        <v>0</v>
      </c>
    </row>
    <row r="25" spans="1:13" ht="12.75">
      <c r="A25" s="5" t="s">
        <v>69</v>
      </c>
      <c r="B25" s="42">
        <v>30</v>
      </c>
      <c r="C25" s="50"/>
      <c r="D25" s="50"/>
      <c r="E25" s="42"/>
      <c r="F25" s="42">
        <f t="shared" si="0"/>
        <v>30</v>
      </c>
      <c r="G25" s="23"/>
      <c r="H25" s="21"/>
      <c r="I25" s="42"/>
      <c r="J25" s="50"/>
      <c r="K25" s="50"/>
      <c r="L25" s="42"/>
      <c r="M25" s="43">
        <f t="shared" si="1"/>
        <v>0</v>
      </c>
    </row>
    <row r="26" spans="1:13" ht="12.75" hidden="1">
      <c r="A26" s="5" t="s">
        <v>8</v>
      </c>
      <c r="B26" s="42"/>
      <c r="C26" s="50"/>
      <c r="D26" s="50"/>
      <c r="E26" s="42"/>
      <c r="F26" s="42">
        <f t="shared" si="0"/>
        <v>0</v>
      </c>
      <c r="G26" s="23"/>
      <c r="H26" s="21"/>
      <c r="I26" s="42"/>
      <c r="J26" s="50"/>
      <c r="K26" s="50"/>
      <c r="L26" s="42"/>
      <c r="M26" s="43">
        <f t="shared" si="1"/>
        <v>0</v>
      </c>
    </row>
    <row r="27" spans="1:13" ht="24" hidden="1">
      <c r="A27" s="5" t="s">
        <v>48</v>
      </c>
      <c r="B27" s="42"/>
      <c r="C27" s="50"/>
      <c r="D27" s="50"/>
      <c r="E27" s="42"/>
      <c r="F27" s="42">
        <f t="shared" si="0"/>
        <v>0</v>
      </c>
      <c r="G27" s="23"/>
      <c r="H27" s="21"/>
      <c r="I27" s="42"/>
      <c r="J27" s="50"/>
      <c r="K27" s="50"/>
      <c r="L27" s="42"/>
      <c r="M27" s="43">
        <f t="shared" si="1"/>
        <v>0</v>
      </c>
    </row>
    <row r="28" spans="1:13" ht="12.75">
      <c r="A28" s="5" t="s">
        <v>68</v>
      </c>
      <c r="B28" s="42">
        <f>100+50</f>
        <v>150</v>
      </c>
      <c r="C28" s="50"/>
      <c r="D28" s="50"/>
      <c r="E28" s="42"/>
      <c r="F28" s="42">
        <f t="shared" si="0"/>
        <v>150</v>
      </c>
      <c r="G28" s="23"/>
      <c r="H28" s="21"/>
      <c r="I28" s="42"/>
      <c r="J28" s="50"/>
      <c r="K28" s="50"/>
      <c r="L28" s="42"/>
      <c r="M28" s="43">
        <f t="shared" si="1"/>
        <v>0</v>
      </c>
    </row>
    <row r="29" spans="1:13" s="17" customFormat="1" ht="24">
      <c r="A29" s="10" t="s">
        <v>9</v>
      </c>
      <c r="B29" s="11">
        <f>SUM(B19:B28)</f>
        <v>3540.0000000000005</v>
      </c>
      <c r="C29" s="11">
        <f>SUM(C19:C28)</f>
        <v>0</v>
      </c>
      <c r="D29" s="11">
        <f>SUM(D19:D28)</f>
        <v>50</v>
      </c>
      <c r="E29" s="60">
        <f>SUM(E19:E28)</f>
        <v>0</v>
      </c>
      <c r="F29" s="11">
        <f>SUM(F19:F28)</f>
        <v>3590.0000000000005</v>
      </c>
      <c r="G29" s="24"/>
      <c r="H29" s="32"/>
      <c r="I29" s="11">
        <f>SUM(I19:I28)</f>
        <v>470</v>
      </c>
      <c r="J29" s="11">
        <f>SUM(J19:J28)</f>
        <v>0</v>
      </c>
      <c r="K29" s="11">
        <f>SUM(K19:K28)</f>
        <v>0</v>
      </c>
      <c r="L29" s="60">
        <f>SUM(L19:L28)</f>
        <v>0</v>
      </c>
      <c r="M29" s="12">
        <f>SUM(M19:M28)</f>
        <v>470</v>
      </c>
    </row>
    <row r="30" spans="1:13" ht="12.75">
      <c r="A30" s="5" t="s">
        <v>11</v>
      </c>
      <c r="B30" s="16">
        <f>860*0+746+3*81-3*35+500-1384+3/3*506+56</f>
        <v>562</v>
      </c>
      <c r="C30" s="50"/>
      <c r="D30" s="50">
        <f>45+10</f>
        <v>55</v>
      </c>
      <c r="E30" s="8"/>
      <c r="F30" s="8">
        <f aca="true" t="shared" si="2" ref="F30:F35">SUM(B30:E30)</f>
        <v>617</v>
      </c>
      <c r="G30" s="46"/>
      <c r="H30" s="31"/>
      <c r="I30" s="42"/>
      <c r="J30" s="50"/>
      <c r="K30" s="50"/>
      <c r="L30" s="42"/>
      <c r="M30" s="43">
        <f aca="true" t="shared" si="3" ref="M30:M35">SUM(I30:L30)</f>
        <v>0</v>
      </c>
    </row>
    <row r="31" spans="1:13" s="49" customFormat="1" ht="12.75">
      <c r="A31" s="5" t="s">
        <v>12</v>
      </c>
      <c r="B31" s="16">
        <f>1865*0+1804+3*150-54</f>
        <v>2200</v>
      </c>
      <c r="C31" s="50">
        <f>55.8</f>
        <v>55.8</v>
      </c>
      <c r="D31" s="50">
        <f>40-40</f>
        <v>0</v>
      </c>
      <c r="E31" s="8"/>
      <c r="F31" s="8">
        <f t="shared" si="2"/>
        <v>2255.8</v>
      </c>
      <c r="G31" s="46"/>
      <c r="H31" s="31"/>
      <c r="I31" s="50">
        <f>123*1.05-4.15</f>
        <v>125</v>
      </c>
      <c r="J31" s="50"/>
      <c r="K31" s="50"/>
      <c r="L31" s="47"/>
      <c r="M31" s="63">
        <f t="shared" si="3"/>
        <v>125</v>
      </c>
    </row>
    <row r="32" spans="1:13" s="51" customFormat="1" ht="12.75">
      <c r="A32" s="5" t="s">
        <v>13</v>
      </c>
      <c r="B32" s="16">
        <f>710*0+(1592-44/44*583)+(5500-2010/2010*1000-2011/2011*3000)-2509+2012/2012*(3/3*(1197-67)+4/4*(1675-1150))</f>
        <v>1655</v>
      </c>
      <c r="C32" s="50"/>
      <c r="D32" s="50">
        <f>90/90*2707.6+15+(1707-404)+50</f>
        <v>4075.6</v>
      </c>
      <c r="E32" s="8"/>
      <c r="F32" s="8">
        <f t="shared" si="2"/>
        <v>5730.6</v>
      </c>
      <c r="G32" s="46"/>
      <c r="H32" s="31"/>
      <c r="I32" s="50"/>
      <c r="J32" s="50"/>
      <c r="K32" s="50"/>
      <c r="L32" s="42"/>
      <c r="M32" s="43">
        <f t="shared" si="3"/>
        <v>0</v>
      </c>
    </row>
    <row r="33" spans="1:13" s="51" customFormat="1" ht="12.75">
      <c r="A33" s="5" t="s">
        <v>71</v>
      </c>
      <c r="B33" s="16">
        <f>12+16</f>
        <v>28</v>
      </c>
      <c r="C33" s="50"/>
      <c r="D33" s="50"/>
      <c r="E33" s="8"/>
      <c r="F33" s="8">
        <f t="shared" si="2"/>
        <v>28</v>
      </c>
      <c r="G33" s="46"/>
      <c r="H33" s="31"/>
      <c r="I33" s="50"/>
      <c r="J33" s="50"/>
      <c r="K33" s="50"/>
      <c r="L33" s="42"/>
      <c r="M33" s="43">
        <f t="shared" si="3"/>
        <v>0</v>
      </c>
    </row>
    <row r="34" spans="1:13" s="49" customFormat="1" ht="12.75">
      <c r="A34" s="5" t="s">
        <v>14</v>
      </c>
      <c r="B34" s="42">
        <f>35+60+40+50+150</f>
        <v>335</v>
      </c>
      <c r="C34" s="50"/>
      <c r="D34" s="50">
        <f>-10+45</f>
        <v>35</v>
      </c>
      <c r="E34" s="42"/>
      <c r="F34" s="42">
        <f t="shared" si="2"/>
        <v>370</v>
      </c>
      <c r="G34" s="52"/>
      <c r="H34" s="31"/>
      <c r="I34" s="50">
        <f>100*1.1</f>
        <v>110.00000000000001</v>
      </c>
      <c r="J34" s="50"/>
      <c r="K34" s="50"/>
      <c r="L34" s="47"/>
      <c r="M34" s="63">
        <f t="shared" si="3"/>
        <v>110.00000000000001</v>
      </c>
    </row>
    <row r="35" spans="1:13" ht="12.75" hidden="1">
      <c r="A35" s="5" t="s">
        <v>47</v>
      </c>
      <c r="B35" s="47"/>
      <c r="C35" s="50"/>
      <c r="D35" s="50"/>
      <c r="E35" s="47"/>
      <c r="F35" s="47">
        <f t="shared" si="2"/>
        <v>0</v>
      </c>
      <c r="G35" s="23"/>
      <c r="H35" s="21"/>
      <c r="I35" s="42"/>
      <c r="J35" s="50"/>
      <c r="K35" s="50"/>
      <c r="L35" s="42"/>
      <c r="M35" s="43">
        <f t="shared" si="3"/>
        <v>0</v>
      </c>
    </row>
    <row r="36" spans="1:13" ht="12.75" hidden="1">
      <c r="A36" s="5" t="s">
        <v>0</v>
      </c>
      <c r="B36" s="42"/>
      <c r="C36" s="50"/>
      <c r="D36" s="50"/>
      <c r="E36" s="42"/>
      <c r="F36" s="42"/>
      <c r="G36" s="23"/>
      <c r="H36" s="21"/>
      <c r="I36" s="42"/>
      <c r="J36" s="50"/>
      <c r="K36" s="50"/>
      <c r="L36" s="42"/>
      <c r="M36" s="43"/>
    </row>
    <row r="37" spans="1:13" s="17" customFormat="1" ht="24">
      <c r="A37" s="10" t="s">
        <v>59</v>
      </c>
      <c r="B37" s="11">
        <f>SUM(B30:B36)</f>
        <v>4780</v>
      </c>
      <c r="C37" s="11">
        <f>SUM(C30:C36)</f>
        <v>55.8</v>
      </c>
      <c r="D37" s="11">
        <f>SUM(D30:D36)</f>
        <v>4165.6</v>
      </c>
      <c r="E37" s="60">
        <f>SUM(E30:E36)</f>
        <v>0</v>
      </c>
      <c r="F37" s="11">
        <f>SUM(F30:F36)</f>
        <v>9001.400000000001</v>
      </c>
      <c r="G37" s="24"/>
      <c r="H37" s="32"/>
      <c r="I37" s="11">
        <f>SUM(I30:I36)</f>
        <v>235</v>
      </c>
      <c r="J37" s="11">
        <f>SUM(J30:J36)</f>
        <v>0</v>
      </c>
      <c r="K37" s="11">
        <f>SUM(K30:K36)</f>
        <v>0</v>
      </c>
      <c r="L37" s="60">
        <f>SUM(L30:L36)</f>
        <v>0</v>
      </c>
      <c r="M37" s="12">
        <f>SUM(M30:M36)</f>
        <v>235</v>
      </c>
    </row>
    <row r="38" spans="1:13" ht="12.75">
      <c r="A38" s="5" t="s">
        <v>15</v>
      </c>
      <c r="B38" s="6">
        <v>350</v>
      </c>
      <c r="C38" s="50"/>
      <c r="D38" s="50"/>
      <c r="E38" s="6"/>
      <c r="F38" s="6">
        <f>SUM(B38:E38)</f>
        <v>350</v>
      </c>
      <c r="G38" s="23"/>
      <c r="H38" s="21"/>
      <c r="I38" s="42"/>
      <c r="J38" s="50"/>
      <c r="K38" s="50"/>
      <c r="L38" s="42"/>
      <c r="M38" s="43">
        <f>SUM(I38:L38)</f>
        <v>0</v>
      </c>
    </row>
    <row r="39" spans="1:13" ht="12.75" hidden="1">
      <c r="A39" s="5"/>
      <c r="B39" s="42"/>
      <c r="C39" s="50"/>
      <c r="D39" s="50"/>
      <c r="E39" s="42"/>
      <c r="F39" s="42"/>
      <c r="G39" s="23"/>
      <c r="H39" s="21"/>
      <c r="I39" s="42"/>
      <c r="J39" s="50"/>
      <c r="K39" s="50"/>
      <c r="L39" s="42"/>
      <c r="M39" s="43"/>
    </row>
    <row r="40" spans="1:13" s="17" customFormat="1" ht="24">
      <c r="A40" s="10" t="s">
        <v>58</v>
      </c>
      <c r="B40" s="11">
        <f>SUM(B38:B39)</f>
        <v>350</v>
      </c>
      <c r="C40" s="11">
        <f>SUM(C38:C39)</f>
        <v>0</v>
      </c>
      <c r="D40" s="11">
        <f>SUM(D38:D39)</f>
        <v>0</v>
      </c>
      <c r="E40" s="60">
        <f>SUM(E38:E39)</f>
        <v>0</v>
      </c>
      <c r="F40" s="11">
        <f>SUM(F38:F39)</f>
        <v>350</v>
      </c>
      <c r="G40" s="24"/>
      <c r="H40" s="32"/>
      <c r="I40" s="11">
        <f>SUM(I38:I39)</f>
        <v>0</v>
      </c>
      <c r="J40" s="11">
        <f>SUM(J38:J39)</f>
        <v>0</v>
      </c>
      <c r="K40" s="11">
        <f>SUM(K38:K39)</f>
        <v>0</v>
      </c>
      <c r="L40" s="60">
        <f>SUM(L38:L39)</f>
        <v>0</v>
      </c>
      <c r="M40" s="12">
        <f>SUM(M38:M39)</f>
        <v>0</v>
      </c>
    </row>
    <row r="41" spans="1:13" s="49" customFormat="1" ht="29.25">
      <c r="A41" s="5" t="s">
        <v>17</v>
      </c>
      <c r="B41" s="16">
        <f>(5000-2000-3000)+2012/2012*5000</f>
        <v>5000</v>
      </c>
      <c r="C41" s="50"/>
      <c r="D41" s="50">
        <f>-1668+1548</f>
        <v>-120</v>
      </c>
      <c r="E41" s="8"/>
      <c r="F41" s="8">
        <f>SUM(B41:E41)</f>
        <v>4880</v>
      </c>
      <c r="G41" s="45" t="s">
        <v>62</v>
      </c>
      <c r="H41" s="31"/>
      <c r="I41" s="16">
        <f>10000*0+(1350*12-16200)*0+(87694-66438)-21256/2+1372</f>
        <v>12000</v>
      </c>
      <c r="J41" s="50"/>
      <c r="K41" s="71">
        <v>-12000</v>
      </c>
      <c r="L41" s="47"/>
      <c r="M41" s="63">
        <f>SUM(I41:L41)</f>
        <v>0</v>
      </c>
    </row>
    <row r="42" spans="1:13" ht="12.75">
      <c r="A42" s="5" t="s">
        <v>18</v>
      </c>
      <c r="B42" s="16">
        <f>(6000*0+6300)*(1.05*0+1.1*0+1.15)-315*0-630*0+55-1000*0</f>
        <v>7299.999999999999</v>
      </c>
      <c r="C42" s="50"/>
      <c r="D42" s="50">
        <v>120</v>
      </c>
      <c r="E42" s="8"/>
      <c r="F42" s="8">
        <f>SUM(B42:E42)</f>
        <v>7419.999999999999</v>
      </c>
      <c r="G42" s="46"/>
      <c r="H42" s="31"/>
      <c r="I42" s="42"/>
      <c r="J42" s="50"/>
      <c r="K42" s="50"/>
      <c r="L42" s="42"/>
      <c r="M42" s="43">
        <f>SUM(I42:L42)</f>
        <v>0</v>
      </c>
    </row>
    <row r="43" spans="1:13" s="17" customFormat="1" ht="24">
      <c r="A43" s="10" t="s">
        <v>16</v>
      </c>
      <c r="B43" s="11">
        <f>SUM(B41:B42)</f>
        <v>12300</v>
      </c>
      <c r="C43" s="11">
        <f>SUM(C41:C42)</f>
        <v>0</v>
      </c>
      <c r="D43" s="11">
        <f>SUM(D41:D42)</f>
        <v>0</v>
      </c>
      <c r="E43" s="60">
        <f>SUM(E41:E42)</f>
        <v>0</v>
      </c>
      <c r="F43" s="11">
        <f>SUM(F41:F42)</f>
        <v>12300</v>
      </c>
      <c r="G43" s="24"/>
      <c r="H43" s="32"/>
      <c r="I43" s="11">
        <f>SUM(I41:I42)</f>
        <v>12000</v>
      </c>
      <c r="J43" s="11">
        <f>SUM(J41:J42)</f>
        <v>0</v>
      </c>
      <c r="K43" s="65">
        <f>SUM(K41:K42)</f>
        <v>-12000</v>
      </c>
      <c r="L43" s="60">
        <f>SUM(L41:L42)</f>
        <v>0</v>
      </c>
      <c r="M43" s="12">
        <f>SUM(M41:M42)</f>
        <v>0</v>
      </c>
    </row>
    <row r="44" spans="1:13" ht="12.75">
      <c r="A44" s="5" t="s">
        <v>20</v>
      </c>
      <c r="B44" s="16">
        <f>2276*1.025+0.1-2333+175*12*(1.09-0.09)+50+150</f>
        <v>2299.9999999999995</v>
      </c>
      <c r="C44" s="50"/>
      <c r="D44" s="50">
        <f>6+80+2</f>
        <v>88</v>
      </c>
      <c r="E44" s="8"/>
      <c r="F44" s="8">
        <f aca="true" t="shared" si="4" ref="F44:F49">SUM(B44:E44)</f>
        <v>2387.9999999999995</v>
      </c>
      <c r="G44" s="48"/>
      <c r="H44" s="33" t="s">
        <v>31</v>
      </c>
      <c r="I44" s="42">
        <v>100</v>
      </c>
      <c r="J44" s="50"/>
      <c r="K44" s="50"/>
      <c r="L44" s="42"/>
      <c r="M44" s="43">
        <f aca="true" t="shared" si="5" ref="M44:M50">SUM(I44:L44)</f>
        <v>100</v>
      </c>
    </row>
    <row r="45" spans="1:13" s="18" customFormat="1" ht="12.75">
      <c r="A45" s="5" t="s">
        <v>21</v>
      </c>
      <c r="B45" s="53">
        <f>2011/2011*(48725*1.025-43.125-49900)+2012/2012*(47914*1.015-32.7)-98116/98116*(12*((24.79+24.01+21.37+22.09+20.09)-0.35-112*0-1344*0)*(1+0.09+0.25)+0.05+1801*0-732/732*210/2*0-1)-46800+(1/1*(899+200)+2/2*(552-92))+3/3*(41901-835+377-712+99-308+36-4068)+4/4*(7471+94+44-343+3000*0+1000*0+90+2000*0-1500)+5/5*111+6/6*152+7/7*32+10/10*(6059-1571)</f>
        <v>48687.999999999985</v>
      </c>
      <c r="C45" s="50">
        <f>398.5</f>
        <v>398.5</v>
      </c>
      <c r="D45" s="50">
        <f>398.5+120+16/16*(-675+2/2*-193+3/3*(-2354+60)+4/4*(21/21*210+23/23*150+153/153*100+1600/1600*50+54)+10/10*(80+5410/5410*18)+1737*0)</f>
        <v>-1981.5</v>
      </c>
      <c r="E45" s="8"/>
      <c r="F45" s="8">
        <f t="shared" si="4"/>
        <v>47104.999999999985</v>
      </c>
      <c r="G45" s="64" t="s">
        <v>54</v>
      </c>
      <c r="H45" s="36" t="s">
        <v>50</v>
      </c>
      <c r="I45" s="16">
        <f>18478*0+2011/2011*16653*0+2012/2012*(15758+(1250*0+408+842))-I14-I15</f>
        <v>15758</v>
      </c>
      <c r="J45" s="50">
        <f>398.5</f>
        <v>398.5</v>
      </c>
      <c r="K45" s="50">
        <v>398.5</v>
      </c>
      <c r="L45" s="8"/>
      <c r="M45" s="9">
        <f t="shared" si="5"/>
        <v>16555</v>
      </c>
    </row>
    <row r="46" spans="1:13" ht="22.5">
      <c r="A46" s="7" t="s">
        <v>22</v>
      </c>
      <c r="B46" s="8">
        <f>583-62+523+262/2</f>
        <v>1175</v>
      </c>
      <c r="C46" s="50"/>
      <c r="D46" s="50"/>
      <c r="E46" s="8"/>
      <c r="F46" s="8">
        <f t="shared" si="4"/>
        <v>1175</v>
      </c>
      <c r="G46" s="46"/>
      <c r="H46" s="29" t="s">
        <v>30</v>
      </c>
      <c r="I46" s="42"/>
      <c r="J46" s="50"/>
      <c r="K46" s="50"/>
      <c r="L46" s="42"/>
      <c r="M46" s="43">
        <f t="shared" si="5"/>
        <v>0</v>
      </c>
    </row>
    <row r="47" spans="1:13" s="51" customFormat="1" ht="21.75" customHeight="1">
      <c r="A47" s="5" t="s">
        <v>23</v>
      </c>
      <c r="B47" s="42">
        <f>3113/3113*(5000-3500)+6171/6171*((4000-3612/3612*B41)+2000-2500)+2012/2012*(3000+1000+2000)</f>
        <v>6000</v>
      </c>
      <c r="C47" s="50"/>
      <c r="D47" s="50">
        <f>-2354*0+375+10-428+260</f>
        <v>217</v>
      </c>
      <c r="E47" s="42"/>
      <c r="F47" s="42">
        <f t="shared" si="4"/>
        <v>6217</v>
      </c>
      <c r="G47" s="46" t="s">
        <v>63</v>
      </c>
      <c r="H47" s="21" t="s">
        <v>51</v>
      </c>
      <c r="I47" s="42">
        <f>300*0+2012/2012*500</f>
        <v>500</v>
      </c>
      <c r="J47" s="50"/>
      <c r="K47" s="50"/>
      <c r="L47" s="42"/>
      <c r="M47" s="43">
        <f t="shared" si="5"/>
        <v>500</v>
      </c>
    </row>
    <row r="48" spans="1:13" s="51" customFormat="1" ht="12.75">
      <c r="A48" s="5" t="s">
        <v>24</v>
      </c>
      <c r="B48" s="42">
        <v>150</v>
      </c>
      <c r="C48" s="50"/>
      <c r="D48" s="50"/>
      <c r="E48" s="42"/>
      <c r="F48" s="42">
        <f t="shared" si="4"/>
        <v>150</v>
      </c>
      <c r="G48" s="23"/>
      <c r="H48" s="21" t="s">
        <v>33</v>
      </c>
      <c r="I48" s="42"/>
      <c r="J48" s="50"/>
      <c r="K48" s="50">
        <f>85</f>
        <v>85</v>
      </c>
      <c r="L48" s="42"/>
      <c r="M48" s="43">
        <f t="shared" si="5"/>
        <v>85</v>
      </c>
    </row>
    <row r="49" spans="1:13" s="49" customFormat="1" ht="12.75">
      <c r="A49" s="5" t="s">
        <v>25</v>
      </c>
      <c r="B49" s="42">
        <f>16/16*(509+101)+(77+50)+352+3</f>
        <v>1092</v>
      </c>
      <c r="C49" s="50"/>
      <c r="D49" s="50"/>
      <c r="E49" s="42"/>
      <c r="F49" s="42">
        <f t="shared" si="4"/>
        <v>1092</v>
      </c>
      <c r="G49" s="23"/>
      <c r="H49" s="21" t="s">
        <v>32</v>
      </c>
      <c r="I49" s="50">
        <f>160*0+2012/2012*200</f>
        <v>200</v>
      </c>
      <c r="J49" s="50"/>
      <c r="K49" s="50"/>
      <c r="L49" s="47"/>
      <c r="M49" s="63">
        <f t="shared" si="5"/>
        <v>200</v>
      </c>
    </row>
    <row r="50" spans="1:13" ht="19.5">
      <c r="A50" s="5"/>
      <c r="B50" s="47"/>
      <c r="C50" s="50"/>
      <c r="D50" s="50"/>
      <c r="E50" s="47"/>
      <c r="F50" s="47"/>
      <c r="G50" s="23"/>
      <c r="H50" s="66" t="s">
        <v>64</v>
      </c>
      <c r="I50" s="42"/>
      <c r="J50" s="50"/>
      <c r="K50" s="50">
        <f>165+165</f>
        <v>330</v>
      </c>
      <c r="L50" s="42"/>
      <c r="M50" s="63">
        <f t="shared" si="5"/>
        <v>330</v>
      </c>
    </row>
    <row r="51" spans="1:13" s="17" customFormat="1" ht="24">
      <c r="A51" s="10" t="s">
        <v>19</v>
      </c>
      <c r="B51" s="11">
        <f>SUM(B44:B50)</f>
        <v>59404.999999999985</v>
      </c>
      <c r="C51" s="11">
        <f>SUM(C44:C50)</f>
        <v>398.5</v>
      </c>
      <c r="D51" s="11">
        <f>SUM(D44:D50)</f>
        <v>-1676.5</v>
      </c>
      <c r="E51" s="60">
        <f>SUM(E44:E50)</f>
        <v>0</v>
      </c>
      <c r="F51" s="11">
        <f>SUM(F44:F50)</f>
        <v>58126.999999999985</v>
      </c>
      <c r="G51" s="24"/>
      <c r="H51" s="32"/>
      <c r="I51" s="11">
        <f>SUM(I44:I50)</f>
        <v>16558</v>
      </c>
      <c r="J51" s="11">
        <f>SUM(J44:J50)</f>
        <v>398.5</v>
      </c>
      <c r="K51" s="11">
        <f>SUM(K44:K50)</f>
        <v>813.5</v>
      </c>
      <c r="L51" s="60">
        <f>SUM(L44:L50)</f>
        <v>0</v>
      </c>
      <c r="M51" s="12">
        <f>SUM(M44:M50)</f>
        <v>17770</v>
      </c>
    </row>
    <row r="52" spans="1:13" s="19" customFormat="1" ht="12.75">
      <c r="A52" s="5"/>
      <c r="B52" s="6"/>
      <c r="C52" s="50"/>
      <c r="D52" s="50"/>
      <c r="E52" s="6"/>
      <c r="F52" s="6"/>
      <c r="G52" s="23"/>
      <c r="H52" s="21" t="s">
        <v>37</v>
      </c>
      <c r="I52" s="54">
        <f>(250+35+520+13+250+1300)+32</f>
        <v>2400</v>
      </c>
      <c r="J52" s="50"/>
      <c r="K52" s="50"/>
      <c r="L52" s="55"/>
      <c r="M52" s="37">
        <f aca="true" t="shared" si="6" ref="M52:M57">SUM(I52:L52)</f>
        <v>2400</v>
      </c>
    </row>
    <row r="53" spans="1:13" s="19" customFormat="1" ht="12.75">
      <c r="A53" s="5"/>
      <c r="B53" s="55"/>
      <c r="C53" s="50"/>
      <c r="D53" s="50"/>
      <c r="E53" s="55"/>
      <c r="F53" s="55"/>
      <c r="G53" s="23"/>
      <c r="H53" s="21" t="s">
        <v>36</v>
      </c>
      <c r="I53" s="42">
        <f>2700*1.035+5.5</f>
        <v>2800</v>
      </c>
      <c r="J53" s="50"/>
      <c r="K53" s="50"/>
      <c r="L53" s="42"/>
      <c r="M53" s="43">
        <f t="shared" si="6"/>
        <v>2800</v>
      </c>
    </row>
    <row r="54" spans="1:13" ht="12.75">
      <c r="A54" s="5"/>
      <c r="B54" s="42"/>
      <c r="C54" s="50"/>
      <c r="D54" s="50"/>
      <c r="E54" s="42"/>
      <c r="F54" s="42"/>
      <c r="G54" s="23"/>
      <c r="H54" s="21" t="s">
        <v>35</v>
      </c>
      <c r="I54" s="42">
        <f>5000*0+9200*0+2012/2012*8700</f>
        <v>8700</v>
      </c>
      <c r="J54" s="50"/>
      <c r="K54" s="50"/>
      <c r="L54" s="42"/>
      <c r="M54" s="43">
        <f t="shared" si="6"/>
        <v>8700</v>
      </c>
    </row>
    <row r="55" spans="1:13" s="18" customFormat="1" ht="12.75">
      <c r="A55" s="5"/>
      <c r="B55" s="42"/>
      <c r="C55" s="50"/>
      <c r="D55" s="50"/>
      <c r="E55" s="42"/>
      <c r="F55" s="42"/>
      <c r="G55" s="23"/>
      <c r="H55" s="21" t="s">
        <v>56</v>
      </c>
      <c r="I55" s="16">
        <f>8408*3.728472883*0+31120*0+2012/2012*(38243.68+0.32)</f>
        <v>38244</v>
      </c>
      <c r="J55" s="50">
        <f>2/2*4200+55.8</f>
        <v>4255.8</v>
      </c>
      <c r="K55" s="50">
        <f>(120+50+439.6+(212.1+282+50.1)+4000+398.5*0)+128</f>
        <v>5281.8</v>
      </c>
      <c r="L55" s="8"/>
      <c r="M55" s="9">
        <f t="shared" si="6"/>
        <v>47781.600000000006</v>
      </c>
    </row>
    <row r="56" spans="1:13" ht="12.75">
      <c r="A56" s="5"/>
      <c r="B56" s="8"/>
      <c r="C56" s="50"/>
      <c r="D56" s="50"/>
      <c r="E56" s="8"/>
      <c r="F56" s="8"/>
      <c r="G56" s="23"/>
      <c r="H56" s="21" t="s">
        <v>53</v>
      </c>
      <c r="I56" s="42"/>
      <c r="J56" s="50"/>
      <c r="K56" s="50"/>
      <c r="L56" s="42"/>
      <c r="M56" s="43">
        <f t="shared" si="6"/>
        <v>0</v>
      </c>
    </row>
    <row r="57" spans="1:13" s="18" customFormat="1" ht="12.75">
      <c r="A57" s="5"/>
      <c r="B57" s="42"/>
      <c r="C57" s="50"/>
      <c r="D57" s="50"/>
      <c r="E57" s="42"/>
      <c r="F57" s="42"/>
      <c r="G57" s="23"/>
      <c r="H57" s="21" t="s">
        <v>34</v>
      </c>
      <c r="I57" s="16">
        <f>3000*0+21256/2*2-I41-9256*0+3000-12256+2012/2012*(3612/3612*5000+3688)</f>
        <v>8688</v>
      </c>
      <c r="J57" s="50"/>
      <c r="K57" s="50">
        <f>12000</f>
        <v>12000</v>
      </c>
      <c r="L57" s="8"/>
      <c r="M57" s="9">
        <f t="shared" si="6"/>
        <v>20688</v>
      </c>
    </row>
    <row r="58" spans="1:13" s="18" customFormat="1" ht="12.75">
      <c r="A58" s="5"/>
      <c r="B58" s="8"/>
      <c r="C58" s="50"/>
      <c r="D58" s="50"/>
      <c r="E58" s="8"/>
      <c r="F58" s="8"/>
      <c r="G58" s="23"/>
      <c r="H58" s="34" t="s">
        <v>67</v>
      </c>
      <c r="I58" s="42"/>
      <c r="J58" s="50"/>
      <c r="K58" s="50"/>
      <c r="L58" s="42"/>
      <c r="M58" s="43"/>
    </row>
    <row r="59" spans="1:13" s="17" customFormat="1" ht="24">
      <c r="A59" s="10" t="s">
        <v>26</v>
      </c>
      <c r="B59" s="11">
        <f>SUM(B52:B58)</f>
        <v>0</v>
      </c>
      <c r="C59" s="11">
        <f>SUM(C52:C58)</f>
        <v>0</v>
      </c>
      <c r="D59" s="11">
        <f>SUM(D52:D58)</f>
        <v>0</v>
      </c>
      <c r="E59" s="60">
        <f>SUM(E52:E58)</f>
        <v>0</v>
      </c>
      <c r="F59" s="11">
        <f>SUM(F52:F58)</f>
        <v>0</v>
      </c>
      <c r="G59" s="24"/>
      <c r="H59" s="21"/>
      <c r="I59" s="11">
        <f>SUM(I52:I58)</f>
        <v>60832</v>
      </c>
      <c r="J59" s="11">
        <f>SUM(J52:J58)</f>
        <v>4255.8</v>
      </c>
      <c r="K59" s="11">
        <f>SUM(K52:K58)</f>
        <v>17281.8</v>
      </c>
      <c r="L59" s="60">
        <f>SUM(L52:L58)</f>
        <v>0</v>
      </c>
      <c r="M59" s="12">
        <f>SUM(M52:M58)</f>
        <v>82369.6</v>
      </c>
    </row>
    <row r="60" spans="1:13" ht="1.5" customHeight="1">
      <c r="A60" s="5"/>
      <c r="B60" s="6"/>
      <c r="C60" s="50"/>
      <c r="D60" s="50"/>
      <c r="E60" s="6"/>
      <c r="F60" s="6"/>
      <c r="G60" s="23"/>
      <c r="H60" s="21"/>
      <c r="I60" s="42"/>
      <c r="J60" s="50"/>
      <c r="K60" s="50"/>
      <c r="L60" s="42"/>
      <c r="M60" s="43"/>
    </row>
    <row r="61" spans="1:13" s="17" customFormat="1" ht="13.5" thickBot="1">
      <c r="A61" s="13" t="s">
        <v>27</v>
      </c>
      <c r="B61" s="14">
        <f>SUM(B3:B60)/2</f>
        <v>91344.99999999999</v>
      </c>
      <c r="C61" s="14">
        <f>SUM(C3:C60)/2</f>
        <v>4654.299999999999</v>
      </c>
      <c r="D61" s="14">
        <f>SUM(D3:D60)/2</f>
        <v>8802.900000000001</v>
      </c>
      <c r="E61" s="61">
        <f>SUM(E3:E60)/2</f>
        <v>0</v>
      </c>
      <c r="F61" s="14">
        <f>SUM(F3:F60)/2</f>
        <v>104802.19999999998</v>
      </c>
      <c r="G61" s="67">
        <f>M61+2707.6-F61</f>
        <v>0</v>
      </c>
      <c r="H61" s="56"/>
      <c r="I61" s="14">
        <f>SUM(I3:I60)/2</f>
        <v>91345</v>
      </c>
      <c r="J61" s="14">
        <f>SUM(J3:J60)/2</f>
        <v>4654.3</v>
      </c>
      <c r="K61" s="14">
        <f>SUM(K3:K60)/2</f>
        <v>6095.299999999999</v>
      </c>
      <c r="L61" s="61">
        <f>SUM(L3:L60)/2</f>
        <v>0</v>
      </c>
      <c r="M61" s="15">
        <f>SUM(M3:M60)/2</f>
        <v>102094.6</v>
      </c>
    </row>
    <row r="62" spans="2:6" ht="14.25" thickBot="1" thickTop="1">
      <c r="B62" s="20"/>
      <c r="E62" s="20"/>
      <c r="F62" s="26"/>
    </row>
    <row r="63" spans="1:13" ht="12.75">
      <c r="A63" s="86" t="s">
        <v>72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</row>
    <row r="64" spans="1:13" ht="12.75">
      <c r="A64" s="72"/>
      <c r="B64" s="58"/>
      <c r="C64" s="73"/>
      <c r="D64" s="73"/>
      <c r="E64" s="58"/>
      <c r="I64" s="58"/>
      <c r="J64" s="73"/>
      <c r="K64" s="73"/>
      <c r="M64" s="74"/>
    </row>
    <row r="65" spans="1:13" ht="12.75">
      <c r="A65" s="89" t="s">
        <v>73</v>
      </c>
      <c r="B65" s="90"/>
      <c r="C65" s="91"/>
      <c r="D65" s="91"/>
      <c r="E65" s="90"/>
      <c r="F65" s="90"/>
      <c r="G65" s="92"/>
      <c r="H65" s="93"/>
      <c r="I65" s="90"/>
      <c r="J65" s="91"/>
      <c r="K65" s="91"/>
      <c r="L65" s="90"/>
      <c r="M65" s="94"/>
    </row>
    <row r="66" spans="1:13" ht="12.75">
      <c r="A66" s="79" t="s">
        <v>74</v>
      </c>
      <c r="B66" s="80"/>
      <c r="C66" s="76"/>
      <c r="D66" s="77" t="s">
        <v>75</v>
      </c>
      <c r="E66" s="76"/>
      <c r="F66" s="76"/>
      <c r="G66" s="77" t="s">
        <v>76</v>
      </c>
      <c r="H66" s="76"/>
      <c r="I66" s="76"/>
      <c r="J66" s="76"/>
      <c r="K66" s="76"/>
      <c r="L66" s="76"/>
      <c r="M66" s="78"/>
    </row>
    <row r="67" spans="1:13" ht="12.75">
      <c r="A67" s="75" t="s">
        <v>77</v>
      </c>
      <c r="B67" s="58"/>
      <c r="C67" s="73"/>
      <c r="D67" s="73"/>
      <c r="E67" s="58"/>
      <c r="I67" s="58"/>
      <c r="J67" s="73"/>
      <c r="K67" s="73"/>
      <c r="M67" s="74"/>
    </row>
    <row r="68" spans="1:13" ht="24.75" customHeight="1" thickBot="1">
      <c r="A68" s="81" t="s">
        <v>78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3"/>
    </row>
  </sheetData>
  <sheetProtection password="CC4F" sheet="1" objects="1" scenarios="1"/>
  <mergeCells count="6">
    <mergeCell ref="A66:B66"/>
    <mergeCell ref="A68:M68"/>
    <mergeCell ref="B1:F1"/>
    <mergeCell ref="I1:M1"/>
    <mergeCell ref="A63:M63"/>
    <mergeCell ref="A65:M65"/>
  </mergeCells>
  <printOptions gridLines="1"/>
  <pageMargins left="0.5905511811023623" right="0" top="0.984251968503937" bottom="0.4724409448818898" header="0.5118110236220472" footer="0.31496062992125984"/>
  <pageSetup horizontalDpi="600" verticalDpi="600" orientation="portrait" paperSize="9" scale="84" r:id="rId1"/>
  <headerFooter alignWithMargins="0">
    <oddHeader>&amp;L&amp;"Arial,tučné kurzíva"&amp;14Úprava rozpočtu na rok 2012&amp;R&amp;"Arial,tučné kurzíva"ZMČ 20.06.2012 příl  2</oddHeader>
    <oddFooter>&amp;L&amp;F&amp;R&amp;P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Marta Tišlová</cp:lastModifiedBy>
  <cp:lastPrinted>2012-09-03T20:49:22Z</cp:lastPrinted>
  <dcterms:created xsi:type="dcterms:W3CDTF">2009-11-29T19:02:18Z</dcterms:created>
  <dcterms:modified xsi:type="dcterms:W3CDTF">2012-09-03T20:55:36Z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