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46" windowWidth="14175" windowHeight="5640" activeTab="0"/>
  </bookViews>
  <sheets>
    <sheet name="Hospodaření MČ SR UR skut 2006" sheetId="1" r:id="rId1"/>
  </sheets>
  <definedNames/>
  <calcPr fullCalcOnLoad="1"/>
</workbook>
</file>

<file path=xl/sharedStrings.xml><?xml version="1.0" encoding="utf-8"?>
<sst xmlns="http://schemas.openxmlformats.org/spreadsheetml/2006/main" count="118" uniqueCount="94">
  <si>
    <t>PO Mateřská škola</t>
  </si>
  <si>
    <t>PO Základní škola</t>
  </si>
  <si>
    <t>PO Školní jídelna</t>
  </si>
  <si>
    <t>š k o l s t v í</t>
  </si>
  <si>
    <t>Kino</t>
  </si>
  <si>
    <t>knihovna - knižní fond</t>
  </si>
  <si>
    <t>Kronika, Letopis. komise</t>
  </si>
  <si>
    <t>k u l t u r a</t>
  </si>
  <si>
    <t>Dobrov. hasičský sbor</t>
  </si>
  <si>
    <t>b e z p e č n o s t</t>
  </si>
  <si>
    <t>Úřad MČ samospráva (vč. SFZ)</t>
  </si>
  <si>
    <t xml:space="preserve">  -  pojištění majetku</t>
  </si>
  <si>
    <t>Nahodilé příjmy</t>
  </si>
  <si>
    <t>Neinvest. dary (pro MŠ IV)</t>
  </si>
  <si>
    <t>Úřad MČ státní správa</t>
  </si>
  <si>
    <t xml:space="preserve"> + volby</t>
  </si>
  <si>
    <t>Zastupitelstvo</t>
  </si>
  <si>
    <t>Rekr. středisko</t>
  </si>
  <si>
    <t>Splácení půjčky SF ŽP</t>
  </si>
  <si>
    <t>s p r á v a</t>
  </si>
  <si>
    <t>Jesle</t>
  </si>
  <si>
    <t>Pečovatelská služba</t>
  </si>
  <si>
    <t>Dům s peč. službou čp. 461</t>
  </si>
  <si>
    <t>Dům s peč. službou čp. 1522</t>
  </si>
  <si>
    <t>Strav. zařízení peč. služby</t>
  </si>
  <si>
    <t>Lék. služba první pomoci</t>
  </si>
  <si>
    <t>Sociální péče - ZÁPLAVY</t>
  </si>
  <si>
    <t>Sociální dávky</t>
  </si>
  <si>
    <t>s o c i á l.   v ě c i</t>
  </si>
  <si>
    <t>POVODNĚ hráz Šár.kolo a cykl. stezka</t>
  </si>
  <si>
    <t>ÚMČ stavebnictví</t>
  </si>
  <si>
    <t>PO Domovní správa</t>
  </si>
  <si>
    <t>PO Technické služby</t>
  </si>
  <si>
    <t>ÚMČ</t>
  </si>
  <si>
    <t>hřbit. popl.</t>
  </si>
  <si>
    <t>pokl. správa - samospr.</t>
  </si>
  <si>
    <t>pokl. správa - státní spr.</t>
  </si>
  <si>
    <t>Zapojení prostř. hosp. činnosti</t>
  </si>
  <si>
    <t>Výnos daně z nemovitostí</t>
  </si>
  <si>
    <t>soc. dávky</t>
  </si>
  <si>
    <t>st. správa</t>
  </si>
  <si>
    <t>Dotace státní - účel. dot. VOLBY</t>
  </si>
  <si>
    <t>Dotace účelové:</t>
  </si>
  <si>
    <t xml:space="preserve"> </t>
  </si>
  <si>
    <t>dar od fyzické osoby</t>
  </si>
  <si>
    <t xml:space="preserve">POVODNĚ opravy byt. fondu (MMR) </t>
  </si>
  <si>
    <t xml:space="preserve">  -   záplavy</t>
  </si>
  <si>
    <t xml:space="preserve">  - záplavy UZ 088</t>
  </si>
  <si>
    <t xml:space="preserve"> -  referendum</t>
  </si>
  <si>
    <t xml:space="preserve">  -  NZZ</t>
  </si>
  <si>
    <t xml:space="preserve">  -  záplavy UZ 088</t>
  </si>
  <si>
    <t>ÚMČ komunikace + vodní hosp.</t>
  </si>
  <si>
    <t xml:space="preserve">       POVODNĚ  lávka</t>
  </si>
  <si>
    <t xml:space="preserve">       POVODNĚ  komunikace opravy</t>
  </si>
  <si>
    <t xml:space="preserve">FSEU POVODNĚ komunikace                       </t>
  </si>
  <si>
    <t xml:space="preserve">FSEU POVODNĚ hráz Šár.kolo a cykl. stezka </t>
  </si>
  <si>
    <t xml:space="preserve">    Energetické audity</t>
  </si>
  <si>
    <t>ÚMČ víceúčel. sport. hala</t>
  </si>
  <si>
    <r>
      <t xml:space="preserve">Dotace HMP                                                         </t>
    </r>
    <r>
      <rPr>
        <b/>
        <sz val="8"/>
        <rFont val="Arial CE"/>
        <family val="0"/>
      </rPr>
      <t xml:space="preserve"> </t>
    </r>
    <r>
      <rPr>
        <b/>
        <strike/>
        <sz val="8"/>
        <rFont val="Arial CE"/>
        <family val="2"/>
      </rPr>
      <t>- školství</t>
    </r>
  </si>
  <si>
    <r>
      <t xml:space="preserve"> rozloha MČ                                </t>
    </r>
    <r>
      <rPr>
        <sz val="8"/>
        <rFont val="Arial CE"/>
        <family val="0"/>
      </rPr>
      <t xml:space="preserve">  </t>
    </r>
    <r>
      <rPr>
        <strike/>
        <sz val="8"/>
        <rFont val="Arial CE"/>
        <family val="2"/>
      </rPr>
      <t>zeleň, komunik</t>
    </r>
  </si>
  <si>
    <r>
      <t xml:space="preserve"> počet obyvatel MČ                           </t>
    </r>
    <r>
      <rPr>
        <sz val="8"/>
        <rFont val="Arial CE"/>
        <family val="0"/>
      </rPr>
      <t xml:space="preserve">  </t>
    </r>
    <r>
      <rPr>
        <strike/>
        <sz val="8"/>
        <rFont val="Arial CE"/>
        <family val="2"/>
      </rPr>
      <t>st. správa</t>
    </r>
  </si>
  <si>
    <t>Schválený rozpočet 2006</t>
  </si>
  <si>
    <t>Upravený rozpočet 2006</t>
  </si>
  <si>
    <t>Skutečnost 31.12.2006</t>
  </si>
  <si>
    <t>Sb.dv. provoz</t>
  </si>
  <si>
    <t>revitalizace poz. TS 4169</t>
  </si>
  <si>
    <t>komunikace</t>
  </si>
  <si>
    <t>xx</t>
  </si>
  <si>
    <t>Radk-Stráž vč. z r. 2005, Safír</t>
  </si>
  <si>
    <t xml:space="preserve"> ZUŠ</t>
  </si>
  <si>
    <t xml:space="preserve">   MŠ účel z r. 2005</t>
  </si>
  <si>
    <r>
      <t xml:space="preserve">   prevence drogy </t>
    </r>
    <r>
      <rPr>
        <sz val="7"/>
        <rFont val="Arial CE"/>
        <family val="2"/>
      </rPr>
      <t>3541</t>
    </r>
  </si>
  <si>
    <r>
      <t xml:space="preserve">Péče o občany   </t>
    </r>
    <r>
      <rPr>
        <sz val="7"/>
        <rFont val="Arial CE"/>
        <family val="2"/>
      </rPr>
      <t>4319</t>
    </r>
  </si>
  <si>
    <t xml:space="preserve">   volby</t>
  </si>
  <si>
    <t xml:space="preserve">  veřejná hřiště</t>
  </si>
  <si>
    <t>Kulturní středisko vč. posvícení</t>
  </si>
  <si>
    <t>Knihovna vč. příst (HMP 5.600)</t>
  </si>
  <si>
    <t xml:space="preserve">    DHS účel. HMP</t>
  </si>
  <si>
    <r>
      <t xml:space="preserve">hřiště </t>
    </r>
    <r>
      <rPr>
        <sz val="7"/>
        <rFont val="Arial CE"/>
        <family val="2"/>
      </rPr>
      <t>xx, 8846, 8847, 8887, 8905</t>
    </r>
  </si>
  <si>
    <r>
      <t xml:space="preserve">Finanční vypořádání roku 2005                          </t>
    </r>
    <r>
      <rPr>
        <strike/>
        <sz val="7"/>
        <rFont val="Arial CE"/>
        <family val="2"/>
      </rPr>
      <t>Soc. fond zaměstnanců</t>
    </r>
  </si>
  <si>
    <t>V Ý D A J E</t>
  </si>
  <si>
    <t xml:space="preserve"> P Ř Í J M Y</t>
  </si>
  <si>
    <t>2 0 0 6</t>
  </si>
  <si>
    <t>Dotace stát</t>
  </si>
  <si>
    <t>Výnos daně z příjmů 2005</t>
  </si>
  <si>
    <t xml:space="preserve"> V Ý D A J E</t>
  </si>
  <si>
    <t>výsledek</t>
  </si>
  <si>
    <r>
      <t xml:space="preserve">  prevence mládež   </t>
    </r>
    <r>
      <rPr>
        <sz val="7"/>
        <rFont val="Arial CE"/>
        <family val="2"/>
      </rPr>
      <t>4329</t>
    </r>
  </si>
  <si>
    <r>
      <t xml:space="preserve">školství   </t>
    </r>
    <r>
      <rPr>
        <sz val="7"/>
        <rFont val="Arial CE"/>
        <family val="2"/>
      </rPr>
      <t>722 žáků x 1.282,00</t>
    </r>
  </si>
  <si>
    <r>
      <t xml:space="preserve"> výnos DPFOP </t>
    </r>
    <r>
      <rPr>
        <sz val="7"/>
        <rFont val="Arial CE"/>
        <family val="2"/>
      </rPr>
      <t xml:space="preserve">(index nárůstu 1,01)  </t>
    </r>
    <r>
      <rPr>
        <sz val="8"/>
        <rFont val="Arial CE"/>
        <family val="2"/>
      </rPr>
      <t xml:space="preserve">                              </t>
    </r>
    <r>
      <rPr>
        <sz val="8"/>
        <rFont val="Arial CE"/>
        <family val="0"/>
      </rPr>
      <t xml:space="preserve">  </t>
    </r>
    <r>
      <rPr>
        <strike/>
        <sz val="8"/>
        <rFont val="Arial CE"/>
        <family val="2"/>
      </rPr>
      <t>provoz</t>
    </r>
  </si>
  <si>
    <t xml:space="preserve"> 03 doprava</t>
  </si>
  <si>
    <t xml:space="preserve"> 02 infrastruktura</t>
  </si>
  <si>
    <t>ponecháno z roku 2005</t>
  </si>
  <si>
    <t>FV 2005: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</si>
</sst>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9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8"/>
      <name val="Arial CE"/>
      <family val="2"/>
    </font>
    <font>
      <b/>
      <strike/>
      <sz val="8"/>
      <name val="Arial CE"/>
      <family val="2"/>
    </font>
    <font>
      <strike/>
      <sz val="8"/>
      <name val="Arial CE"/>
      <family val="2"/>
    </font>
    <font>
      <sz val="7"/>
      <color indexed="10"/>
      <name val="Arial CE"/>
      <family val="2"/>
    </font>
    <font>
      <strike/>
      <sz val="7"/>
      <name val="Arial CE"/>
      <family val="2"/>
    </font>
    <font>
      <b/>
      <i/>
      <sz val="14"/>
      <name val="Arial CE"/>
      <family val="2"/>
    </font>
    <font>
      <b/>
      <sz val="10"/>
      <color indexed="17"/>
      <name val="Arial CE"/>
      <family val="2"/>
    </font>
    <font>
      <b/>
      <sz val="9"/>
      <color indexed="17"/>
      <name val="Arial CE"/>
      <family val="2"/>
    </font>
    <font>
      <b/>
      <sz val="7"/>
      <color indexed="1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Alignment="1">
      <alignment/>
    </xf>
    <xf numFmtId="0" fontId="6" fillId="0" borderId="2" xfId="0" applyNumberFormat="1" applyFont="1" applyFill="1" applyBorder="1" applyAlignment="1" applyProtection="1">
      <alignment/>
      <protection/>
    </xf>
    <xf numFmtId="3" fontId="18" fillId="2" borderId="0" xfId="0" applyNumberFormat="1" applyFont="1" applyFill="1" applyBorder="1" applyAlignment="1" applyProtection="1">
      <alignment/>
      <protection/>
    </xf>
    <xf numFmtId="168" fontId="19" fillId="2" borderId="0" xfId="0" applyNumberFormat="1" applyFont="1" applyFill="1" applyBorder="1" applyAlignment="1" applyProtection="1">
      <alignment/>
      <protection/>
    </xf>
    <xf numFmtId="4" fontId="19" fillId="2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/>
      <protection/>
    </xf>
    <xf numFmtId="168" fontId="20" fillId="2" borderId="0" xfId="0" applyNumberFormat="1" applyFont="1" applyFill="1" applyBorder="1" applyAlignment="1" applyProtection="1">
      <alignment horizontal="center" wrapText="1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20" fillId="2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10" fillId="0" borderId="3" xfId="0" applyNumberFormat="1" applyFont="1" applyFill="1" applyBorder="1" applyAlignment="1" applyProtection="1">
      <alignment/>
      <protection/>
    </xf>
    <xf numFmtId="4" fontId="10" fillId="0" borderId="4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right"/>
      <protection/>
    </xf>
    <xf numFmtId="0" fontId="6" fillId="0" borderId="2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right"/>
      <protection/>
    </xf>
    <xf numFmtId="0" fontId="6" fillId="0" borderId="8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/>
      <protection/>
    </xf>
    <xf numFmtId="168" fontId="7" fillId="0" borderId="10" xfId="0" applyNumberFormat="1" applyFont="1" applyFill="1" applyBorder="1" applyAlignment="1" applyProtection="1">
      <alignment horizontal="center" wrapText="1"/>
      <protection/>
    </xf>
    <xf numFmtId="168" fontId="7" fillId="0" borderId="11" xfId="0" applyNumberFormat="1" applyFont="1" applyFill="1" applyBorder="1" applyAlignment="1" applyProtection="1">
      <alignment horizont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168" fontId="6" fillId="0" borderId="13" xfId="0" applyNumberFormat="1" applyFont="1" applyFill="1" applyBorder="1" applyAlignment="1" applyProtection="1">
      <alignment/>
      <protection/>
    </xf>
    <xf numFmtId="168" fontId="6" fillId="0" borderId="14" xfId="0" applyNumberFormat="1" applyFont="1" applyFill="1" applyBorder="1" applyAlignment="1" applyProtection="1">
      <alignment/>
      <protection/>
    </xf>
    <xf numFmtId="4" fontId="6" fillId="0" borderId="15" xfId="0" applyNumberFormat="1" applyFont="1" applyFill="1" applyBorder="1" applyAlignment="1" applyProtection="1">
      <alignment/>
      <protection/>
    </xf>
    <xf numFmtId="168" fontId="6" fillId="0" borderId="16" xfId="0" applyNumberFormat="1" applyFont="1" applyFill="1" applyBorder="1" applyAlignment="1" applyProtection="1">
      <alignment/>
      <protection/>
    </xf>
    <xf numFmtId="168" fontId="6" fillId="0" borderId="17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168" fontId="7" fillId="0" borderId="16" xfId="0" applyNumberFormat="1" applyFont="1" applyFill="1" applyBorder="1" applyAlignment="1" applyProtection="1">
      <alignment/>
      <protection/>
    </xf>
    <xf numFmtId="168" fontId="7" fillId="0" borderId="17" xfId="0" applyNumberFormat="1" applyFont="1" applyFill="1" applyBorder="1" applyAlignment="1" applyProtection="1">
      <alignment/>
      <protection/>
    </xf>
    <xf numFmtId="4" fontId="7" fillId="0" borderId="18" xfId="0" applyNumberFormat="1" applyFont="1" applyFill="1" applyBorder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/>
      <protection/>
    </xf>
    <xf numFmtId="168" fontId="12" fillId="0" borderId="17" xfId="0" applyNumberFormat="1" applyFont="1" applyFill="1" applyBorder="1" applyAlignment="1" applyProtection="1">
      <alignment/>
      <protection/>
    </xf>
    <xf numFmtId="168" fontId="5" fillId="0" borderId="16" xfId="0" applyNumberFormat="1" applyFont="1" applyFill="1" applyBorder="1" applyAlignment="1" applyProtection="1">
      <alignment/>
      <protection/>
    </xf>
    <xf numFmtId="168" fontId="5" fillId="0" borderId="17" xfId="0" applyNumberFormat="1" applyFont="1" applyFill="1" applyBorder="1" applyAlignment="1" applyProtection="1">
      <alignment/>
      <protection/>
    </xf>
    <xf numFmtId="168" fontId="6" fillId="0" borderId="16" xfId="0" applyNumberFormat="1" applyFont="1" applyFill="1" applyBorder="1" applyAlignment="1" applyProtection="1">
      <alignment/>
      <protection/>
    </xf>
    <xf numFmtId="168" fontId="6" fillId="0" borderId="17" xfId="0" applyNumberFormat="1" applyFont="1" applyFill="1" applyBorder="1" applyAlignment="1" applyProtection="1">
      <alignment/>
      <protection/>
    </xf>
    <xf numFmtId="168" fontId="7" fillId="0" borderId="19" xfId="0" applyNumberFormat="1" applyFont="1" applyFill="1" applyBorder="1" applyAlignment="1" applyProtection="1">
      <alignment/>
      <protection/>
    </xf>
    <xf numFmtId="168" fontId="7" fillId="0" borderId="20" xfId="0" applyNumberFormat="1" applyFont="1" applyFill="1" applyBorder="1" applyAlignment="1" applyProtection="1">
      <alignment/>
      <protection/>
    </xf>
    <xf numFmtId="4" fontId="7" fillId="0" borderId="21" xfId="0" applyNumberFormat="1" applyFont="1" applyFill="1" applyBorder="1" applyAlignment="1" applyProtection="1">
      <alignment/>
      <protection/>
    </xf>
    <xf numFmtId="168" fontId="10" fillId="0" borderId="22" xfId="0" applyNumberFormat="1" applyFont="1" applyFill="1" applyBorder="1" applyAlignment="1" applyProtection="1">
      <alignment/>
      <protection/>
    </xf>
    <xf numFmtId="168" fontId="10" fillId="0" borderId="23" xfId="0" applyNumberFormat="1" applyFont="1" applyFill="1" applyBorder="1" applyAlignment="1" applyProtection="1">
      <alignment/>
      <protection/>
    </xf>
    <xf numFmtId="4" fontId="7" fillId="0" borderId="24" xfId="0" applyNumberFormat="1" applyFont="1" applyFill="1" applyBorder="1" applyAlignment="1" applyProtection="1">
      <alignment horizontal="center" vertical="center" wrapText="1"/>
      <protection/>
    </xf>
    <xf numFmtId="4" fontId="6" fillId="0" borderId="25" xfId="0" applyNumberFormat="1" applyFont="1" applyFill="1" applyBorder="1" applyAlignment="1" applyProtection="1">
      <alignment/>
      <protection/>
    </xf>
    <xf numFmtId="4" fontId="6" fillId="0" borderId="26" xfId="0" applyNumberFormat="1" applyFont="1" applyFill="1" applyBorder="1" applyAlignment="1" applyProtection="1">
      <alignment/>
      <protection/>
    </xf>
    <xf numFmtId="4" fontId="7" fillId="0" borderId="26" xfId="0" applyNumberFormat="1" applyFont="1" applyFill="1" applyBorder="1" applyAlignment="1" applyProtection="1">
      <alignment/>
      <protection/>
    </xf>
    <xf numFmtId="4" fontId="7" fillId="0" borderId="27" xfId="0" applyNumberFormat="1" applyFont="1" applyFill="1" applyBorder="1" applyAlignment="1" applyProtection="1">
      <alignment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168" fontId="10" fillId="0" borderId="31" xfId="0" applyNumberFormat="1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>
      <alignment horizontal="center"/>
    </xf>
    <xf numFmtId="168" fontId="10" fillId="0" borderId="32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96" sqref="H96"/>
    </sheetView>
  </sheetViews>
  <sheetFormatPr defaultColWidth="9.140625" defaultRowHeight="12.75"/>
  <cols>
    <col min="1" max="1" width="8.28125" style="2" customWidth="1"/>
    <col min="2" max="2" width="23.7109375" style="2" customWidth="1"/>
    <col min="3" max="3" width="8.7109375" style="10" customWidth="1"/>
    <col min="4" max="4" width="8.00390625" style="10" customWidth="1"/>
    <col min="5" max="5" width="13.28125" style="13" customWidth="1"/>
    <col min="6" max="6" width="21.7109375" style="0" customWidth="1"/>
    <col min="7" max="7" width="8.7109375" style="10" customWidth="1"/>
    <col min="8" max="8" width="8.00390625" style="10" customWidth="1"/>
    <col min="9" max="9" width="12.8515625" style="13" customWidth="1"/>
    <col min="10" max="16384" width="10.00390625" style="2" customWidth="1"/>
  </cols>
  <sheetData>
    <row r="1" ht="18" customHeight="1" thickBot="1">
      <c r="A1" s="7" t="s">
        <v>43</v>
      </c>
    </row>
    <row r="2" spans="1:9" ht="18" customHeight="1" thickBot="1" thickTop="1">
      <c r="A2" s="76" t="s">
        <v>82</v>
      </c>
      <c r="B2" s="77"/>
      <c r="C2" s="80" t="s">
        <v>80</v>
      </c>
      <c r="D2" s="81"/>
      <c r="E2" s="81"/>
      <c r="F2" s="77"/>
      <c r="G2" s="82" t="s">
        <v>81</v>
      </c>
      <c r="H2" s="83"/>
      <c r="I2" s="84"/>
    </row>
    <row r="3" spans="1:9" s="3" customFormat="1" ht="45.75" thickBot="1">
      <c r="A3" s="78"/>
      <c r="B3" s="79"/>
      <c r="C3" s="48" t="s">
        <v>61</v>
      </c>
      <c r="D3" s="49" t="s">
        <v>62</v>
      </c>
      <c r="E3" s="71" t="s">
        <v>63</v>
      </c>
      <c r="F3" s="85"/>
      <c r="G3" s="48" t="s">
        <v>61</v>
      </c>
      <c r="H3" s="49" t="s">
        <v>62</v>
      </c>
      <c r="I3" s="50" t="s">
        <v>63</v>
      </c>
    </row>
    <row r="4" spans="1:9" s="3" customFormat="1" ht="10.5" customHeight="1" thickTop="1">
      <c r="A4" s="27">
        <v>2310</v>
      </c>
      <c r="B4" s="38"/>
      <c r="C4" s="51"/>
      <c r="D4" s="52"/>
      <c r="E4" s="72">
        <v>319554.27</v>
      </c>
      <c r="F4" s="33"/>
      <c r="G4" s="51"/>
      <c r="H4" s="52"/>
      <c r="I4" s="53"/>
    </row>
    <row r="5" spans="1:9" s="3" customFormat="1" ht="10.5" customHeight="1">
      <c r="A5" s="28">
        <v>3421</v>
      </c>
      <c r="B5" s="31" t="s">
        <v>78</v>
      </c>
      <c r="C5" s="54"/>
      <c r="D5" s="55">
        <f>43+8846/8846*(55+84/84*500)+84/84*(8847/8847*650+8887/8887*725+8905/8905*1130)+8905/8905*12</f>
        <v>3115</v>
      </c>
      <c r="E5" s="73">
        <f>84/84*(8846/8846*483500.6+8847/8847*675512.5+8887/8887*673266.2+8905/8905*1141291.2)+(6882213.42-6547715.42)</f>
        <v>3308068.5</v>
      </c>
      <c r="F5" s="34"/>
      <c r="G5" s="54"/>
      <c r="H5" s="55">
        <f>8846/8846*500+8847/8847*650+8887/8887*725+8905/8905*1130</f>
        <v>3005</v>
      </c>
      <c r="I5" s="56">
        <f>8846/8846*500000+8847/8847*650000+8887/8887*725000+8905/8905*1130000</f>
        <v>3005000</v>
      </c>
    </row>
    <row r="6" spans="1:9" s="3" customFormat="1" ht="10.5" customHeight="1">
      <c r="A6" s="28">
        <v>3722</v>
      </c>
      <c r="B6" s="31" t="s">
        <v>64</v>
      </c>
      <c r="C6" s="54"/>
      <c r="D6" s="55">
        <v>2342</v>
      </c>
      <c r="E6" s="73">
        <f>3237000*0+2869210.65</f>
        <v>2869210.65</v>
      </c>
      <c r="F6" s="34"/>
      <c r="G6" s="54"/>
      <c r="H6" s="55">
        <v>2342</v>
      </c>
      <c r="I6" s="56">
        <v>2342000</v>
      </c>
    </row>
    <row r="7" spans="1:9" s="3" customFormat="1" ht="10.5" customHeight="1">
      <c r="A7" s="28">
        <v>3745</v>
      </c>
      <c r="B7" s="31" t="s">
        <v>65</v>
      </c>
      <c r="C7" s="54"/>
      <c r="D7" s="55">
        <f>250+84/84*4169/4169*605</f>
        <v>855</v>
      </c>
      <c r="E7" s="73">
        <f>84/84*385380</f>
        <v>385380</v>
      </c>
      <c r="F7" s="34"/>
      <c r="G7" s="54"/>
      <c r="H7" s="55">
        <f>84/84*605</f>
        <v>605</v>
      </c>
      <c r="I7" s="56">
        <f>84/84*605000</f>
        <v>605000</v>
      </c>
    </row>
    <row r="8" spans="1:9" s="3" customFormat="1" ht="10.5" customHeight="1">
      <c r="A8" s="28" t="s">
        <v>43</v>
      </c>
      <c r="B8" s="31"/>
      <c r="C8" s="54"/>
      <c r="D8" s="55"/>
      <c r="E8" s="73"/>
      <c r="F8" s="34"/>
      <c r="G8" s="54"/>
      <c r="H8" s="55"/>
      <c r="I8" s="56"/>
    </row>
    <row r="9" spans="1:9" s="3" customFormat="1" ht="10.5" customHeight="1">
      <c r="A9" s="9" t="s">
        <v>91</v>
      </c>
      <c r="B9" s="31"/>
      <c r="C9" s="57">
        <f>SUM(C4:C8)</f>
        <v>0</v>
      </c>
      <c r="D9" s="58">
        <f>SUM(D4:D8)</f>
        <v>6312</v>
      </c>
      <c r="E9" s="74">
        <f>SUM(E4:E8)</f>
        <v>6882213.42</v>
      </c>
      <c r="F9" s="34"/>
      <c r="G9" s="57">
        <f>SUM(G4:G8)</f>
        <v>0</v>
      </c>
      <c r="H9" s="58">
        <f>SUM(H4:H8)</f>
        <v>5952</v>
      </c>
      <c r="I9" s="59">
        <f>SUM(I4:I8)</f>
        <v>5952000</v>
      </c>
    </row>
    <row r="10" spans="1:9" s="3" customFormat="1" ht="10.5" customHeight="1">
      <c r="A10" s="28">
        <v>2212</v>
      </c>
      <c r="B10" s="31" t="s">
        <v>66</v>
      </c>
      <c r="C10" s="54">
        <v>400</v>
      </c>
      <c r="D10" s="55">
        <v>932</v>
      </c>
      <c r="E10" s="73">
        <v>1093567.92</v>
      </c>
      <c r="F10" s="34"/>
      <c r="G10" s="54"/>
      <c r="H10" s="55"/>
      <c r="I10" s="56"/>
    </row>
    <row r="11" spans="1:9" s="3" customFormat="1" ht="10.5" customHeight="1">
      <c r="A11" s="28">
        <v>2212</v>
      </c>
      <c r="B11" s="31" t="s">
        <v>68</v>
      </c>
      <c r="C11" s="54"/>
      <c r="D11" s="55">
        <f>8415/8415*(90/90*983.8+84/84*700)+8860/8860*84/84*250</f>
        <v>1933.8</v>
      </c>
      <c r="E11" s="73">
        <f>8415/8415*(90/90*965997.95+84/84*620190)+8860/8860*84/84*345361.8</f>
        <v>1931549.75</v>
      </c>
      <c r="F11" s="34"/>
      <c r="G11" s="54"/>
      <c r="H11" s="55">
        <f>8415/8415*700+8860/8860*250</f>
        <v>950</v>
      </c>
      <c r="I11" s="56">
        <f>8415/8415*700000+8860/8860*250000</f>
        <v>950000</v>
      </c>
    </row>
    <row r="12" spans="1:9" s="3" customFormat="1" ht="10.5" customHeight="1">
      <c r="A12" s="28">
        <v>2219</v>
      </c>
      <c r="B12" s="16" t="s">
        <v>67</v>
      </c>
      <c r="C12" s="54"/>
      <c r="D12" s="55"/>
      <c r="E12" s="73">
        <f>18147+8474/8474*52577.2</f>
        <v>70724.2</v>
      </c>
      <c r="F12" s="34"/>
      <c r="G12" s="54"/>
      <c r="H12" s="55"/>
      <c r="I12" s="56"/>
    </row>
    <row r="13" spans="1:9" s="3" customFormat="1" ht="10.5" customHeight="1">
      <c r="A13" s="9" t="s">
        <v>90</v>
      </c>
      <c r="B13" s="31"/>
      <c r="C13" s="57">
        <f>SUM(C10:C12)</f>
        <v>400</v>
      </c>
      <c r="D13" s="58">
        <f>SUM(D10:D12)</f>
        <v>2865.8</v>
      </c>
      <c r="E13" s="74">
        <f>SUM(E10:E12)</f>
        <v>3095841.87</v>
      </c>
      <c r="F13" s="34"/>
      <c r="G13" s="57">
        <f>SUM(G10:G12)</f>
        <v>0</v>
      </c>
      <c r="H13" s="58">
        <f>SUM(H10:H12)</f>
        <v>950</v>
      </c>
      <c r="I13" s="59">
        <f>SUM(I10:I12)</f>
        <v>950000</v>
      </c>
    </row>
    <row r="14" spans="1:9" s="3" customFormat="1" ht="10.5" customHeight="1">
      <c r="A14" s="28" t="s">
        <v>0</v>
      </c>
      <c r="B14" s="31"/>
      <c r="C14" s="60">
        <f>1338+14-1352+2006/2006*1352*1.02+0.96</f>
        <v>1380</v>
      </c>
      <c r="D14" s="61">
        <f>1338+14-1352+2006/2006*1352*1.02+0.96</f>
        <v>1380</v>
      </c>
      <c r="E14" s="73">
        <f>1380000+147282</f>
        <v>1527282</v>
      </c>
      <c r="F14" s="34"/>
      <c r="G14" s="54"/>
      <c r="H14" s="55"/>
      <c r="I14" s="56"/>
    </row>
    <row r="15" spans="1:9" s="3" customFormat="1" ht="10.5" customHeight="1">
      <c r="A15" s="28" t="s">
        <v>70</v>
      </c>
      <c r="B15" s="31"/>
      <c r="C15" s="60"/>
      <c r="D15" s="61">
        <f>90/90*460.1</f>
        <v>460.1</v>
      </c>
      <c r="E15" s="73">
        <f>90/90*430276.76</f>
        <v>430276.76</v>
      </c>
      <c r="F15" s="34"/>
      <c r="G15" s="54"/>
      <c r="H15" s="55"/>
      <c r="I15" s="56"/>
    </row>
    <row r="16" spans="1:9" s="3" customFormat="1" ht="10.5" customHeight="1">
      <c r="A16" s="28" t="s">
        <v>1</v>
      </c>
      <c r="B16" s="31"/>
      <c r="C16" s="60">
        <f>2729+47-2776+2006/2006*2776*1.02-1.52</f>
        <v>2830</v>
      </c>
      <c r="D16" s="61">
        <f>2729+47-2776+2006/2006*2776*1.02-1.52-2830*0+90+81/81*72+91/91*31.5</f>
        <v>3023.5</v>
      </c>
      <c r="E16" s="73">
        <f>3046000+2420856.19+81/81*72000+91/91*31500</f>
        <v>5570356.1899999995</v>
      </c>
      <c r="F16" s="34"/>
      <c r="G16" s="54"/>
      <c r="H16" s="55">
        <f>81/81*72+91/91*31.5</f>
        <v>103.5</v>
      </c>
      <c r="I16" s="56">
        <f>81/81*72000+91/91*31500</f>
        <v>103500</v>
      </c>
    </row>
    <row r="17" spans="1:9" s="3" customFormat="1" ht="10.5" customHeight="1">
      <c r="A17" s="28" t="s">
        <v>2</v>
      </c>
      <c r="B17" s="31"/>
      <c r="C17" s="60">
        <f>945*1.02+0.1</f>
        <v>964</v>
      </c>
      <c r="D17" s="61">
        <f>945*1.02+0.1-964*0+2005/2005*5.2</f>
        <v>969.2</v>
      </c>
      <c r="E17" s="73">
        <f>969153.49+277100.07</f>
        <v>1246253.56</v>
      </c>
      <c r="F17" s="34"/>
      <c r="G17" s="54"/>
      <c r="H17" s="55"/>
      <c r="I17" s="56"/>
    </row>
    <row r="18" spans="1:9" s="3" customFormat="1" ht="10.5" customHeight="1">
      <c r="A18" s="28" t="s">
        <v>69</v>
      </c>
      <c r="B18" s="31"/>
      <c r="C18" s="60"/>
      <c r="D18" s="61"/>
      <c r="E18" s="73">
        <f>29722+60/60*35704.64</f>
        <v>65426.64</v>
      </c>
      <c r="F18" s="34"/>
      <c r="G18" s="54"/>
      <c r="H18" s="55"/>
      <c r="I18" s="56"/>
    </row>
    <row r="19" spans="1:9" s="3" customFormat="1" ht="10.5" customHeight="1">
      <c r="A19" s="9" t="s">
        <v>3</v>
      </c>
      <c r="B19" s="31"/>
      <c r="C19" s="57">
        <f>SUM(C14:C18)</f>
        <v>5174</v>
      </c>
      <c r="D19" s="58">
        <f>SUM(D14:D18)</f>
        <v>5832.8</v>
      </c>
      <c r="E19" s="74">
        <f>SUM(E14:E18)</f>
        <v>8839595.15</v>
      </c>
      <c r="F19" s="34"/>
      <c r="G19" s="57">
        <f>SUM(G14:G18)</f>
        <v>0</v>
      </c>
      <c r="H19" s="58">
        <f>SUM(H14:H18)</f>
        <v>103.5</v>
      </c>
      <c r="I19" s="59">
        <f>SUM(I14:I18)</f>
        <v>103500</v>
      </c>
    </row>
    <row r="20" spans="1:9" s="3" customFormat="1" ht="10.5" customHeight="1">
      <c r="A20" s="28" t="s">
        <v>4</v>
      </c>
      <c r="B20" s="31"/>
      <c r="C20" s="60">
        <f>1000*1.1-9021/9021*500+70-670+2006/2006*670*1.02-0.4</f>
        <v>683</v>
      </c>
      <c r="D20" s="61">
        <f>1000*1.1-9021/9021*500+70-670+2006/2006*670*1.02-0.4-683*0-54</f>
        <v>629</v>
      </c>
      <c r="E20" s="73">
        <f>698492.1+1/1*2316+5/5*-87714</f>
        <v>613094.1</v>
      </c>
      <c r="F20" s="34"/>
      <c r="G20" s="60">
        <f>500-9021/9021*500</f>
        <v>0</v>
      </c>
      <c r="H20" s="61">
        <f>500-9021/9021*500</f>
        <v>0</v>
      </c>
      <c r="I20" s="56"/>
    </row>
    <row r="21" spans="1:9" s="3" customFormat="1" ht="10.5" customHeight="1">
      <c r="A21" s="28" t="s">
        <v>75</v>
      </c>
      <c r="B21" s="31"/>
      <c r="C21" s="60">
        <f>584*1.1-2.4-640+2006/2006*640*1.02+0.2-653*0-70-583*0</f>
        <v>583.0000000000001</v>
      </c>
      <c r="D21" s="61">
        <f>584*1.1-2.4-640+2006/2006*640*1.02+0.2-653*0-70-583*0-92</f>
        <v>491.0000000000001</v>
      </c>
      <c r="E21" s="73">
        <f>451092.69+1/1*1237+14102006/14102006*18406+2412/2412*2959.5</f>
        <v>473695.19</v>
      </c>
      <c r="F21" s="34"/>
      <c r="G21" s="60">
        <f>(110+20-130)+2006/2006*150*1.032+0.2-155*0</f>
        <v>155</v>
      </c>
      <c r="H21" s="61">
        <f>(110+20-130)+2006/2006*150*1.032+0.2-155*0+15</f>
        <v>170</v>
      </c>
      <c r="I21" s="56">
        <f>172410+2412/2412*7536</f>
        <v>179946</v>
      </c>
    </row>
    <row r="22" spans="1:9" s="3" customFormat="1" ht="10.5" customHeight="1">
      <c r="A22" s="28" t="s">
        <v>76</v>
      </c>
      <c r="B22" s="31"/>
      <c r="C22" s="60">
        <f>992*1.1-1.2-1090+2006/2006*1090*1.02+0.2-1112*0-30</f>
        <v>1082</v>
      </c>
      <c r="D22" s="61">
        <f>992*1.1-1.2-1090+2006/2006*1090*1.02+0.2-1112*0-30-1082*0+(8465/8465*(2000+90/90*2449.4+84/84*5600)+30+81/81*40.5)</f>
        <v>11201.9</v>
      </c>
      <c r="E22" s="73">
        <f>1692741.13+1/1*3158+81/81*40500+8465/8465*(4230.1+90/90*2449373.41+84/84*8041046.51)</f>
        <v>12231049.149999999</v>
      </c>
      <c r="F22" s="34"/>
      <c r="G22" s="60">
        <f>75*1.032-0.4</f>
        <v>77</v>
      </c>
      <c r="H22" s="61">
        <f>75*1.032-0.4-77*0+81/81*40.5+84/84*5600</f>
        <v>5717.5</v>
      </c>
      <c r="I22" s="56">
        <f>84820+81/81*40500+84/84*5600000</f>
        <v>5725320</v>
      </c>
    </row>
    <row r="23" spans="1:9" ht="10.5" customHeight="1" hidden="1">
      <c r="A23" s="9"/>
      <c r="B23" s="31" t="s">
        <v>5</v>
      </c>
      <c r="C23" s="62"/>
      <c r="D23" s="63"/>
      <c r="E23" s="73"/>
      <c r="F23" s="34"/>
      <c r="G23" s="62"/>
      <c r="H23" s="63"/>
      <c r="I23" s="56"/>
    </row>
    <row r="24" spans="1:9" s="3" customFormat="1" ht="10.5" customHeight="1">
      <c r="A24" s="28" t="s">
        <v>6</v>
      </c>
      <c r="B24" s="31"/>
      <c r="C24" s="60">
        <f>25-10</f>
        <v>15</v>
      </c>
      <c r="D24" s="61">
        <f>25-10</f>
        <v>15</v>
      </c>
      <c r="E24" s="73">
        <f>715/715*12000+716/716*9916</f>
        <v>21916</v>
      </c>
      <c r="F24" s="34"/>
      <c r="G24" s="54"/>
      <c r="H24" s="55"/>
      <c r="I24" s="56"/>
    </row>
    <row r="25" spans="1:9" s="3" customFormat="1" ht="10.5" customHeight="1">
      <c r="A25" s="28" t="s">
        <v>74</v>
      </c>
      <c r="B25" s="31"/>
      <c r="C25" s="60"/>
      <c r="D25" s="61">
        <f>8233/8233*90/90*240.8+8586/8586*90/90*474.8+8829/8829*84/84*400</f>
        <v>1115.6</v>
      </c>
      <c r="E25" s="73">
        <f>3412/3412*22777.5+153/153*1608+8233/8233*(146922.5+90/90*240818)+8586/8586*(2061+90/90*474795.5)+8829/8829*84/84*157627.4</f>
        <v>1046609.9</v>
      </c>
      <c r="F25" s="34"/>
      <c r="G25" s="54"/>
      <c r="H25" s="55">
        <f>84/84*400</f>
        <v>400</v>
      </c>
      <c r="I25" s="56">
        <f>84/84*400000</f>
        <v>400000</v>
      </c>
    </row>
    <row r="26" spans="1:9" s="3" customFormat="1" ht="10.5" customHeight="1">
      <c r="A26" s="9" t="s">
        <v>7</v>
      </c>
      <c r="B26" s="31"/>
      <c r="C26" s="57">
        <f>SUM(C20:C25)</f>
        <v>2363</v>
      </c>
      <c r="D26" s="58">
        <f>SUM(D20:D25)</f>
        <v>13452.5</v>
      </c>
      <c r="E26" s="74">
        <f>SUM(E20:E25)</f>
        <v>14386364.339999998</v>
      </c>
      <c r="F26" s="34"/>
      <c r="G26" s="57">
        <f>SUM(G20:G25)</f>
        <v>232</v>
      </c>
      <c r="H26" s="58">
        <f>SUM(H20:H25)</f>
        <v>6287.5</v>
      </c>
      <c r="I26" s="59">
        <f>SUM(I20:I25)</f>
        <v>6305266</v>
      </c>
    </row>
    <row r="27" spans="1:9" s="3" customFormat="1" ht="12.75">
      <c r="A27" s="28" t="s">
        <v>8</v>
      </c>
      <c r="B27" s="31"/>
      <c r="C27" s="60">
        <f>45+2003/2003*0</f>
        <v>45</v>
      </c>
      <c r="D27" s="61">
        <f>45+2003/2003*0-45*0+30.4+81/81*101+125987/125987*5</f>
        <v>181.4</v>
      </c>
      <c r="E27" s="73">
        <f>116159+1/1*4586+81/81*101379+9092006/9092006*14717</f>
        <v>236841</v>
      </c>
      <c r="F27" s="34"/>
      <c r="G27" s="64"/>
      <c r="H27" s="65">
        <f>81/81*101</f>
        <v>101</v>
      </c>
      <c r="I27" s="56">
        <f>81/81*101000</f>
        <v>101000</v>
      </c>
    </row>
    <row r="28" spans="1:9" s="3" customFormat="1" ht="12.75">
      <c r="A28" s="28" t="s">
        <v>77</v>
      </c>
      <c r="B28" s="31"/>
      <c r="C28" s="60"/>
      <c r="D28" s="61">
        <f>8895/8895*84/84*300</f>
        <v>300</v>
      </c>
      <c r="E28" s="73">
        <f>8895/8895*84/84*209908</f>
        <v>209908</v>
      </c>
      <c r="F28" s="34"/>
      <c r="G28" s="64"/>
      <c r="H28" s="65">
        <f>84/84*300</f>
        <v>300</v>
      </c>
      <c r="I28" s="56">
        <f>84/84*300000</f>
        <v>300000</v>
      </c>
    </row>
    <row r="29" spans="1:9" s="3" customFormat="1" ht="12.75">
      <c r="A29" s="9" t="s">
        <v>9</v>
      </c>
      <c r="B29" s="31"/>
      <c r="C29" s="57">
        <f>SUM(C27:C28)</f>
        <v>45</v>
      </c>
      <c r="D29" s="58">
        <f>SUM(D27:D28)</f>
        <v>481.4</v>
      </c>
      <c r="E29" s="74">
        <f>SUM(E27:E28)</f>
        <v>446749</v>
      </c>
      <c r="F29" s="34"/>
      <c r="G29" s="57">
        <f>SUM(G27:G28)</f>
        <v>0</v>
      </c>
      <c r="H29" s="58">
        <f>SUM(H27:H28)</f>
        <v>401</v>
      </c>
      <c r="I29" s="59">
        <f>SUM(I27:I28)</f>
        <v>401000</v>
      </c>
    </row>
    <row r="30" spans="1:9" s="3" customFormat="1" ht="10.5" customHeight="1">
      <c r="A30" s="28" t="s">
        <v>10</v>
      </c>
      <c r="B30" s="31"/>
      <c r="C30" s="60">
        <f>5063*1.05-16.15-5300+2006/2006*5300*1.02-2178+3850-7078*0-4/4*1298-21/21*343</f>
        <v>5437.000000000001</v>
      </c>
      <c r="D30" s="61">
        <f>5063*1.05-16.15-5300+2006/2006*5300*1.02-2178+3850-7078*0-4/4*1298-21/21*343-929.3+2598.3+559.8+81/81*150+92/92*85.4+99/99*(1019+1000)+50113132/50113132*(7573.4+2043.2+707.3)</f>
        <v>20244.1</v>
      </c>
      <c r="E30" s="73">
        <f>38192802.62+3/3*731823+81/81*8740+88/88*(12804+2147.5)+92/92*85408.36+99/99*1018975.11+2105/2105*4458+8473/8473*3904+8474/8474*2251+11802006/11802006*4500+14102006/14102006*4368+2412/2412*345+125987/125987*286677+(10/10)*570-66424-50113132/50113132*(0)-50113132/50113132*(13221550+3606168+1248463)</f>
        <v>22217168.589999996</v>
      </c>
      <c r="F30" s="34"/>
      <c r="G30" s="60">
        <f>2141/2141*(125+50)*0+(2006/2006*80+2343/2343*1000)*1.032+0.44-1115*0</f>
        <v>1115</v>
      </c>
      <c r="H30" s="61">
        <f>2141/2141*(125+50)*0+(2006/2006*80-83*0+2343/2343*1000-1032*0)*1.032+0.44+2343/2343*-116.4+2141/2141*(-83+13)+3121/3121*380+2321/2321*205+81/81*150+4229/4229*-150</f>
        <v>1513.6</v>
      </c>
      <c r="I30" s="56">
        <f>2343/2343*513580+3121/3121*380000+2141/2141*15194.91+2212/2212*2100+2321/2321*235000+2322/2322*26555+81/81*150000+2460/2460*540400</f>
        <v>1862829.9100000001</v>
      </c>
    </row>
    <row r="31" spans="1:9" s="3" customFormat="1" ht="10.5" customHeight="1">
      <c r="A31" s="28" t="s">
        <v>11</v>
      </c>
      <c r="B31" s="31"/>
      <c r="C31" s="60">
        <f>416+4-420+2006/2006*420*1.02+1.6-430*0</f>
        <v>430.00000000000006</v>
      </c>
      <c r="D31" s="61">
        <f>416+4-420+2006/2006*420*1.02+1.6-430*0</f>
        <v>430.00000000000006</v>
      </c>
      <c r="E31" s="73">
        <v>440396</v>
      </c>
      <c r="F31" s="34"/>
      <c r="G31" s="54"/>
      <c r="H31" s="55"/>
      <c r="I31" s="56"/>
    </row>
    <row r="32" spans="1:9" s="3" customFormat="1" ht="10.5" customHeight="1">
      <c r="A32" s="28" t="s">
        <v>49</v>
      </c>
      <c r="B32" s="31"/>
      <c r="C32" s="60">
        <f>4/4*1298</f>
        <v>1298</v>
      </c>
      <c r="D32" s="61">
        <f>1298</f>
        <v>1298</v>
      </c>
      <c r="E32" s="73">
        <v>1833820.1</v>
      </c>
      <c r="F32" s="34"/>
      <c r="G32" s="54"/>
      <c r="H32" s="55"/>
      <c r="I32" s="56"/>
    </row>
    <row r="33" spans="1:9" s="3" customFormat="1" ht="10.5" customHeight="1" hidden="1">
      <c r="A33" s="28" t="s">
        <v>47</v>
      </c>
      <c r="B33" s="31"/>
      <c r="C33" s="60"/>
      <c r="D33" s="61"/>
      <c r="E33" s="73"/>
      <c r="F33" s="34"/>
      <c r="G33" s="54"/>
      <c r="H33" s="55"/>
      <c r="I33" s="56"/>
    </row>
    <row r="34" spans="1:9" s="3" customFormat="1" ht="10.5" customHeight="1" hidden="1">
      <c r="A34" s="28" t="s">
        <v>48</v>
      </c>
      <c r="B34" s="31"/>
      <c r="C34" s="60"/>
      <c r="D34" s="61"/>
      <c r="E34" s="73"/>
      <c r="F34" s="34"/>
      <c r="G34" s="54"/>
      <c r="H34" s="55"/>
      <c r="I34" s="56"/>
    </row>
    <row r="35" spans="1:9" s="3" customFormat="1" ht="10.5" customHeight="1">
      <c r="A35" s="28"/>
      <c r="B35" s="31"/>
      <c r="C35" s="54"/>
      <c r="D35" s="55"/>
      <c r="E35" s="73"/>
      <c r="F35" s="31" t="s">
        <v>12</v>
      </c>
      <c r="G35" s="54"/>
      <c r="H35" s="55">
        <f>2329/2329*1930.4</f>
        <v>1930.4</v>
      </c>
      <c r="I35" s="56">
        <f>2329/2329*(2668904.4+(10/10)*71290.99)</f>
        <v>2740195.39</v>
      </c>
    </row>
    <row r="36" spans="1:9" s="3" customFormat="1" ht="12.75" customHeight="1" hidden="1">
      <c r="A36" s="28" t="s">
        <v>13</v>
      </c>
      <c r="B36" s="31"/>
      <c r="C36" s="54"/>
      <c r="D36" s="55"/>
      <c r="E36" s="73"/>
      <c r="F36" s="34"/>
      <c r="G36" s="54"/>
      <c r="H36" s="55"/>
      <c r="I36" s="56"/>
    </row>
    <row r="37" spans="1:9" s="3" customFormat="1" ht="10.5" customHeight="1">
      <c r="A37" s="28" t="s">
        <v>14</v>
      </c>
      <c r="B37" s="31"/>
      <c r="C37" s="60">
        <f>24470*1.05+6.5+2005/2005*3200-28900+2006/2006*28900*1.02+22-29500*0+21/21*343</f>
        <v>29843</v>
      </c>
      <c r="D37" s="61">
        <f>(24470*1.05+6.5+2005/2005*3200-28900+2006/2006*28900*1.02+22-29500*0)+21/21*((343-212.4)+98116/98116*429.2)+(98116/98116*(377+1+1)+22460/22460*80+98031/98031*273.9-732.9*0)-50113132/50113132*(7573.4+2043.2+707.3)</f>
        <v>20468.800000000003</v>
      </c>
      <c r="E37" s="73">
        <f>98116/98116*(377000+3744+1296)+22460/22460*81634+98031/98031*274378+21/21*535053.05+23/23*411469.6+732/732*207087.25+1379/1379*280755.12+5410/5410*56372.9+212006/212006*556669.64+50113132/50113132*(13221550+3606168+1248463)</f>
        <v>20861640.56</v>
      </c>
      <c r="F37" s="34"/>
      <c r="G37" s="60">
        <f>(2141/2141*(125+50)+2005/2005*2210/2210*700)*1.032-1-(902*0+2210/2210*722*0)</f>
        <v>902</v>
      </c>
      <c r="H37" s="61">
        <f>(2141/2141*(125+50)+2005/2005*2210/2210*700)*1.032-1-(902*0+2210/2210*722*0+180*0)+2141/2141*-180+98031/98031*273.9+98116/98116*808.2+22460/22460*80</f>
        <v>1884.1</v>
      </c>
      <c r="I37" s="56">
        <f>2210/2210*611259.5+98031/98031*273875+98116/98116*808301+22460/22460*80000+2141/2141*428.91</f>
        <v>1773864.41</v>
      </c>
    </row>
    <row r="38" spans="1:9" s="3" customFormat="1" ht="12.75" customHeight="1" hidden="1">
      <c r="A38" s="28"/>
      <c r="B38" s="31" t="s">
        <v>15</v>
      </c>
      <c r="C38" s="54"/>
      <c r="D38" s="55"/>
      <c r="E38" s="73"/>
      <c r="F38" s="34"/>
      <c r="G38" s="54"/>
      <c r="H38" s="55"/>
      <c r="I38" s="56"/>
    </row>
    <row r="39" spans="1:9" s="3" customFormat="1" ht="10.5" customHeight="1">
      <c r="A39" s="28" t="s">
        <v>16</v>
      </c>
      <c r="B39" s="31"/>
      <c r="C39" s="60">
        <f>1070*1.1*1.1-44.7+2005/2005*500-1750+2006/2006*1750*1.02+50</f>
        <v>1835</v>
      </c>
      <c r="D39" s="61">
        <f>1070*1.1*1.1-44.7+2005/2005*500-1750+2006/2006*1750*1.02+50</f>
        <v>1835</v>
      </c>
      <c r="E39" s="73">
        <f>1818759.2+14102006/14102006*807.5</f>
        <v>1819566.7</v>
      </c>
      <c r="F39" s="34"/>
      <c r="G39" s="54"/>
      <c r="H39" s="55"/>
      <c r="I39" s="56"/>
    </row>
    <row r="40" spans="1:9" s="3" customFormat="1" ht="10.5" customHeight="1">
      <c r="A40" s="28" t="s">
        <v>73</v>
      </c>
      <c r="B40" s="31"/>
      <c r="C40" s="60"/>
      <c r="D40" s="61">
        <f>6114/6114*220+6115/6115*415</f>
        <v>635</v>
      </c>
      <c r="E40" s="73">
        <f>6114/6114*155191.5+6115/6115*413152.43+(5/5)*1600*0</f>
        <v>568343.9299999999</v>
      </c>
      <c r="F40" s="34"/>
      <c r="G40" s="54"/>
      <c r="H40" s="61">
        <f>98071/98071*220+98116/98116*415</f>
        <v>635</v>
      </c>
      <c r="I40" s="56">
        <f>98071/98071*220000+98116/98116*415000</f>
        <v>635000</v>
      </c>
    </row>
    <row r="41" spans="1:9" s="3" customFormat="1" ht="10.5" customHeight="1">
      <c r="A41" s="28" t="s">
        <v>17</v>
      </c>
      <c r="B41" s="31"/>
      <c r="C41" s="60">
        <f>25+50-75*0</f>
        <v>75</v>
      </c>
      <c r="D41" s="61">
        <f>25+50-75*0</f>
        <v>75</v>
      </c>
      <c r="E41" s="73">
        <f>8983.5</f>
        <v>8983.5</v>
      </c>
      <c r="F41" s="34"/>
      <c r="G41" s="54"/>
      <c r="H41" s="55"/>
      <c r="I41" s="56"/>
    </row>
    <row r="42" spans="1:9" s="3" customFormat="1" ht="10.5" customHeight="1">
      <c r="A42" s="28"/>
      <c r="B42" s="31"/>
      <c r="C42" s="54" t="s">
        <v>43</v>
      </c>
      <c r="D42" s="55"/>
      <c r="E42" s="73"/>
      <c r="F42" s="16" t="s">
        <v>79</v>
      </c>
      <c r="G42" s="54"/>
      <c r="H42" s="55">
        <f>2221/2221*-2110</f>
        <v>-2110</v>
      </c>
      <c r="I42" s="56">
        <f>2221/2221*-2110041.85</f>
        <v>-2110041.85</v>
      </c>
    </row>
    <row r="43" spans="1:9" s="3" customFormat="1" ht="10.5" customHeight="1" hidden="1">
      <c r="A43" s="28" t="s">
        <v>18</v>
      </c>
      <c r="B43" s="31"/>
      <c r="C43" s="60">
        <f>216-216</f>
        <v>0</v>
      </c>
      <c r="D43" s="61">
        <f>216-216</f>
        <v>0</v>
      </c>
      <c r="E43" s="73"/>
      <c r="F43" s="34"/>
      <c r="G43" s="54"/>
      <c r="H43" s="55"/>
      <c r="I43" s="56"/>
    </row>
    <row r="44" spans="1:9" s="3" customFormat="1" ht="10.5" customHeight="1">
      <c r="A44" s="9" t="s">
        <v>19</v>
      </c>
      <c r="B44" s="31"/>
      <c r="C44" s="57">
        <f>SUM(C30:C43)</f>
        <v>38918</v>
      </c>
      <c r="D44" s="58">
        <f>SUM(D30:D43)</f>
        <v>44985.9</v>
      </c>
      <c r="E44" s="74">
        <f>SUM(E30:E43)</f>
        <v>47749919.38</v>
      </c>
      <c r="F44" s="34"/>
      <c r="G44" s="57">
        <f>SUM(G30:G43)</f>
        <v>2017</v>
      </c>
      <c r="H44" s="58">
        <f>SUM(H30:H43)</f>
        <v>3853.1000000000004</v>
      </c>
      <c r="I44" s="59">
        <f>SUM(I30:I43)</f>
        <v>4901847.860000001</v>
      </c>
    </row>
    <row r="45" spans="1:9" s="3" customFormat="1" ht="10.5" customHeight="1">
      <c r="A45" s="28" t="s">
        <v>20</v>
      </c>
      <c r="B45" s="31" t="s">
        <v>43</v>
      </c>
      <c r="C45" s="60">
        <f>1200-250-950+2006/2006*950*1.02-39-930*0</f>
        <v>930</v>
      </c>
      <c r="D45" s="61">
        <f>1200-250-950+2006/2006*950*1.02-39</f>
        <v>930</v>
      </c>
      <c r="E45" s="73">
        <f>1139246.51+1/1*2751</f>
        <v>1141997.51</v>
      </c>
      <c r="F45" s="34"/>
      <c r="G45" s="60">
        <f>(44+40)*0+2006/2006*(75+40)*1.032+0.32-119*0</f>
        <v>119</v>
      </c>
      <c r="H45" s="61">
        <f>(44+40)*0+2006/2006*(75+40)*1.032+0.32-119*0</f>
        <v>119</v>
      </c>
      <c r="I45" s="56">
        <f>57050+35800</f>
        <v>92850</v>
      </c>
    </row>
    <row r="46" spans="1:9" s="3" customFormat="1" ht="10.5" customHeight="1">
      <c r="A46" s="28" t="s">
        <v>21</v>
      </c>
      <c r="B46" s="31"/>
      <c r="C46" s="60">
        <f>1016*1.1+13.3*12+22.8-1300+2006/2006*1300*1.02-6-1320*0</f>
        <v>1320.0000000000002</v>
      </c>
      <c r="D46" s="61">
        <f>1016*1.1+13.3*12+22.8-1300+2006/2006*1300*1.02-6</f>
        <v>1320.0000000000002</v>
      </c>
      <c r="E46" s="73">
        <f>1537850.17+1/1*24420+2/2*4872</f>
        <v>1567142.17</v>
      </c>
      <c r="F46" s="34"/>
      <c r="G46" s="60">
        <f>130+50+2005/2005*100-280+2006/2006*(181*12/10*0-217*0+280)*1.032+0.04-289*0</f>
        <v>289.00000000000006</v>
      </c>
      <c r="H46" s="61">
        <f>130+50+2005/2005*100-280+2006/2006*(181*12/10*0-217*0+280)*1.032+0.04-289*0</f>
        <v>289.00000000000006</v>
      </c>
      <c r="I46" s="56">
        <v>239945.5</v>
      </c>
    </row>
    <row r="47" spans="1:9" s="3" customFormat="1" ht="10.5" customHeight="1">
      <c r="A47" s="28" t="s">
        <v>22</v>
      </c>
      <c r="B47" s="31"/>
      <c r="C47" s="60">
        <f>20+120-140+2006/2006*140*1.02+0.2-63-80*0-80+43121/43121*80</f>
        <v>80</v>
      </c>
      <c r="D47" s="61">
        <f>20+120-140+2006/2006*140*1.02+0.2-63-80+54+43121/43121*(168-8)</f>
        <v>214</v>
      </c>
      <c r="E47" s="73">
        <f>83118+(164502-4167)</f>
        <v>243453</v>
      </c>
      <c r="F47" s="34"/>
      <c r="G47" s="54"/>
      <c r="H47" s="55"/>
      <c r="I47" s="56"/>
    </row>
    <row r="48" spans="1:9" s="3" customFormat="1" ht="10.5" customHeight="1" hidden="1">
      <c r="A48" s="28" t="s">
        <v>46</v>
      </c>
      <c r="B48" s="31"/>
      <c r="C48" s="60"/>
      <c r="D48" s="61"/>
      <c r="E48" s="73"/>
      <c r="F48" s="34"/>
      <c r="G48" s="54"/>
      <c r="H48" s="55"/>
      <c r="I48" s="56"/>
    </row>
    <row r="49" spans="1:9" s="3" customFormat="1" ht="10.5" customHeight="1">
      <c r="A49" s="28" t="s">
        <v>23</v>
      </c>
      <c r="B49" s="31"/>
      <c r="C49" s="60">
        <f>0+2003/2003*325-75-250+2006/2006*250*1.02-100-155*0</f>
        <v>155</v>
      </c>
      <c r="D49" s="61">
        <f>0+2003/2003*325-75-250+2006/2006*250*1.02-100-155*0-147</f>
        <v>8</v>
      </c>
      <c r="E49" s="73">
        <v>4167</v>
      </c>
      <c r="F49" s="34"/>
      <c r="G49" s="54"/>
      <c r="H49" s="55"/>
      <c r="I49" s="56"/>
    </row>
    <row r="50" spans="1:9" s="3" customFormat="1" ht="10.5" customHeight="1" hidden="1">
      <c r="A50" s="9"/>
      <c r="B50" s="31" t="s">
        <v>44</v>
      </c>
      <c r="C50" s="54"/>
      <c r="D50" s="55"/>
      <c r="E50" s="73"/>
      <c r="F50" s="34"/>
      <c r="G50" s="54"/>
      <c r="H50" s="55"/>
      <c r="I50" s="56"/>
    </row>
    <row r="51" spans="1:9" s="3" customFormat="1" ht="10.5" customHeight="1">
      <c r="A51" s="28" t="s">
        <v>24</v>
      </c>
      <c r="B51" s="31"/>
      <c r="C51" s="60">
        <f>(2200-150)-2005/2005*58-1992+2006/2006*1992*1.02-1.84-2300*0</f>
        <v>2030.0000000000002</v>
      </c>
      <c r="D51" s="61">
        <f>(2200-150)-2005/2005*58-1992+2006/2006*1992*1.02-1.84-2030*0-74</f>
        <v>1956.0000000000002</v>
      </c>
      <c r="E51" s="73">
        <f>1/1*3834+43122/43122*1952924.8</f>
        <v>1956758.8</v>
      </c>
      <c r="F51" s="34"/>
      <c r="G51" s="60">
        <f>942+158-1100+2006/2006*(962/10*11+41.8-1100*0)*1.032-1.2-1134*0</f>
        <v>1134</v>
      </c>
      <c r="H51" s="61">
        <f>942+158-1100+2006/2006*(962/10*11+41.8-1100*0)*1.032-1.2-1134*0+15</f>
        <v>1149</v>
      </c>
      <c r="I51" s="56">
        <v>1178839</v>
      </c>
    </row>
    <row r="52" spans="1:9" s="3" customFormat="1" ht="10.5" customHeight="1">
      <c r="A52" s="28" t="s">
        <v>25</v>
      </c>
      <c r="B52" s="31"/>
      <c r="C52" s="60">
        <f>0+12*130000/1000-1100-2005/2005*460</f>
        <v>0</v>
      </c>
      <c r="D52" s="61">
        <f>0+12*130000/1000-1100-2005/2005*460+2006/2006*(0+627.5+81/81*627.5)</f>
        <v>1255</v>
      </c>
      <c r="E52" s="73">
        <f>627500+81/81*627500</f>
        <v>1255000</v>
      </c>
      <c r="F52" s="34"/>
      <c r="G52" s="60">
        <f>2002/2002*2003/2003*960.3-0.3-2005/2005*960</f>
        <v>0</v>
      </c>
      <c r="H52" s="61">
        <f>2002/2002*2003/2003*960.3-0.3-2005/2005*960+81/81*627.5+79/79*391.9</f>
        <v>1019.4</v>
      </c>
      <c r="I52" s="56">
        <f>81/81*627500+79/79*391860</f>
        <v>1019360</v>
      </c>
    </row>
    <row r="53" spans="1:9" s="3" customFormat="1" ht="12.75">
      <c r="A53" s="28" t="s">
        <v>72</v>
      </c>
      <c r="B53" s="31"/>
      <c r="C53" s="60">
        <f>68+2003/2003*22-90+2006/2006*90*1.02+28.2-120*0</f>
        <v>120</v>
      </c>
      <c r="D53" s="61">
        <f>68+2003/2003*22-90+2006/2006*90*1.02+28.2-120*0+26+160406/160406*28.2</f>
        <v>174.2</v>
      </c>
      <c r="E53" s="73">
        <v>180770.5</v>
      </c>
      <c r="F53" s="34"/>
      <c r="G53" s="54"/>
      <c r="H53" s="61">
        <f>0+4129/4129*79/79*22.4</f>
        <v>22.4</v>
      </c>
      <c r="I53" s="56">
        <f>79/79*22544</f>
        <v>22544</v>
      </c>
    </row>
    <row r="54" spans="1:9" s="3" customFormat="1" ht="12.75">
      <c r="A54" s="28" t="s">
        <v>71</v>
      </c>
      <c r="B54" s="31"/>
      <c r="C54" s="60"/>
      <c r="D54" s="61">
        <f>81/81*70</f>
        <v>70</v>
      </c>
      <c r="E54" s="73">
        <v>74988</v>
      </c>
      <c r="F54" s="34"/>
      <c r="G54" s="54"/>
      <c r="H54" s="55">
        <f>81/81*70</f>
        <v>70</v>
      </c>
      <c r="I54" s="56">
        <f>81/81*70000</f>
        <v>70000</v>
      </c>
    </row>
    <row r="55" spans="1:9" ht="12.75">
      <c r="A55" s="29" t="s">
        <v>87</v>
      </c>
      <c r="B55" s="39"/>
      <c r="C55" s="60">
        <f>206*1.02-0.12+5-215*0</f>
        <v>215</v>
      </c>
      <c r="D55" s="61">
        <f>206*1.02-0.12+5-215*0-7+81/81*148+98064/98064*48+(12)+157706/157706*55</f>
        <v>471</v>
      </c>
      <c r="E55" s="73">
        <f>173195.5+81/81*90800.68+98064/98064*48000+(24496)</f>
        <v>336492.18</v>
      </c>
      <c r="F55" s="34"/>
      <c r="G55" s="54"/>
      <c r="H55" s="55">
        <f>98064/98064*48+81/81*(98+50)</f>
        <v>196</v>
      </c>
      <c r="I55" s="56">
        <f>98064/98064*48000+81/81*(98000+50000)</f>
        <v>196000</v>
      </c>
    </row>
    <row r="56" spans="1:9" s="3" customFormat="1" ht="12.75" hidden="1">
      <c r="A56" s="28" t="s">
        <v>26</v>
      </c>
      <c r="B56" s="31"/>
      <c r="C56" s="54">
        <v>0</v>
      </c>
      <c r="D56" s="55">
        <v>0</v>
      </c>
      <c r="E56" s="73"/>
      <c r="F56" s="34"/>
      <c r="G56" s="54"/>
      <c r="H56" s="55"/>
      <c r="I56" s="56"/>
    </row>
    <row r="57" spans="1:9" ht="10.5" customHeight="1" hidden="1">
      <c r="A57" s="35"/>
      <c r="B57" s="40" t="s">
        <v>45</v>
      </c>
      <c r="C57" s="62"/>
      <c r="D57" s="63"/>
      <c r="E57" s="73"/>
      <c r="F57" s="34"/>
      <c r="G57" s="62"/>
      <c r="H57" s="63"/>
      <c r="I57" s="56"/>
    </row>
    <row r="58" spans="1:9" s="3" customFormat="1" ht="10.5" customHeight="1">
      <c r="A58" s="28" t="s">
        <v>27</v>
      </c>
      <c r="B58" s="31"/>
      <c r="C58" s="60">
        <f>6950+50-2004/2004*7000+2005/2005*5900-5900+2006/2006*5900*1.02+1082</f>
        <v>7100</v>
      </c>
      <c r="D58" s="61">
        <f>6950+50-2004/2004*7000+2005/2005*5900-5900+2006/2006*5900*1.02+1082-7100*0+2450</f>
        <v>9550</v>
      </c>
      <c r="E58" s="73">
        <v>8091293.5</v>
      </c>
      <c r="F58" s="34"/>
      <c r="G58" s="54"/>
      <c r="H58" s="55"/>
      <c r="I58" s="56"/>
    </row>
    <row r="59" spans="1:9" s="3" customFormat="1" ht="10.5" customHeight="1">
      <c r="A59" s="9" t="s">
        <v>28</v>
      </c>
      <c r="B59" s="31"/>
      <c r="C59" s="57">
        <f>SUM(C45:C58)</f>
        <v>11950</v>
      </c>
      <c r="D59" s="58">
        <f>SUM(D45:D58)</f>
        <v>15948.2</v>
      </c>
      <c r="E59" s="74">
        <f>SUM(E45:E58)</f>
        <v>14852062.66</v>
      </c>
      <c r="F59" s="34"/>
      <c r="G59" s="57">
        <f>SUM(G45:G58)</f>
        <v>1542</v>
      </c>
      <c r="H59" s="58">
        <f>SUM(H45:H58)</f>
        <v>2864.8</v>
      </c>
      <c r="I59" s="59">
        <f>SUM(I45:I58)</f>
        <v>2819538.5</v>
      </c>
    </row>
    <row r="60" spans="1:9" s="4" customFormat="1" ht="10.5" customHeight="1">
      <c r="A60" s="9" t="s">
        <v>51</v>
      </c>
      <c r="B60" s="30"/>
      <c r="C60" s="54">
        <f>(500+400)+180-2005/2005*680-400+2006/2006*400*1.02-8-400*0-3/3*400</f>
        <v>0</v>
      </c>
      <c r="D60" s="55">
        <f>(500+400)+180-2005/2005*680-400+2006/2006*400*1.02-8-400*0-400</f>
        <v>0</v>
      </c>
      <c r="E60" s="73"/>
      <c r="F60" s="34"/>
      <c r="G60" s="54"/>
      <c r="H60" s="55"/>
      <c r="I60" s="56"/>
    </row>
    <row r="61" spans="1:9" s="4" customFormat="1" ht="10.5" customHeight="1" hidden="1">
      <c r="A61" s="29" t="s">
        <v>53</v>
      </c>
      <c r="B61" s="41"/>
      <c r="C61" s="54"/>
      <c r="D61" s="55"/>
      <c r="E61" s="73"/>
      <c r="F61" s="34"/>
      <c r="G61" s="54"/>
      <c r="H61" s="55"/>
      <c r="I61" s="56"/>
    </row>
    <row r="62" spans="1:9" s="4" customFormat="1" ht="10.5" customHeight="1" hidden="1">
      <c r="A62" s="36"/>
      <c r="B62" s="42" t="s">
        <v>54</v>
      </c>
      <c r="C62" s="54"/>
      <c r="D62" s="55"/>
      <c r="E62" s="73"/>
      <c r="F62" s="34"/>
      <c r="G62" s="54"/>
      <c r="H62" s="55"/>
      <c r="I62" s="56"/>
    </row>
    <row r="63" spans="1:9" ht="10.5" customHeight="1" hidden="1">
      <c r="A63" s="35"/>
      <c r="B63" s="40" t="s">
        <v>29</v>
      </c>
      <c r="C63" s="62"/>
      <c r="D63" s="63"/>
      <c r="E63" s="73"/>
      <c r="F63" s="34"/>
      <c r="G63" s="62"/>
      <c r="H63" s="63"/>
      <c r="I63" s="56"/>
    </row>
    <row r="64" spans="1:9" s="4" customFormat="1" ht="10.5" customHeight="1" hidden="1">
      <c r="A64" s="9" t="s">
        <v>30</v>
      </c>
      <c r="B64" s="30"/>
      <c r="C64" s="54">
        <v>0</v>
      </c>
      <c r="D64" s="55">
        <v>0</v>
      </c>
      <c r="E64" s="73">
        <v>0</v>
      </c>
      <c r="F64" s="34"/>
      <c r="G64" s="54"/>
      <c r="H64" s="55"/>
      <c r="I64" s="56">
        <v>0</v>
      </c>
    </row>
    <row r="65" spans="1:9" s="4" customFormat="1" ht="10.5" customHeight="1" hidden="1">
      <c r="A65" s="37"/>
      <c r="B65" s="42" t="s">
        <v>55</v>
      </c>
      <c r="C65" s="54"/>
      <c r="D65" s="55"/>
      <c r="E65" s="73"/>
      <c r="F65" s="34"/>
      <c r="G65" s="54"/>
      <c r="H65" s="55"/>
      <c r="I65" s="56"/>
    </row>
    <row r="66" spans="1:9" s="4" customFormat="1" ht="10.5" customHeight="1" hidden="1">
      <c r="A66" s="29" t="s">
        <v>52</v>
      </c>
      <c r="B66" s="41"/>
      <c r="C66" s="54"/>
      <c r="D66" s="55"/>
      <c r="E66" s="73"/>
      <c r="F66" s="34"/>
      <c r="G66" s="54"/>
      <c r="H66" s="55"/>
      <c r="I66" s="56"/>
    </row>
    <row r="67" spans="1:9" s="4" customFormat="1" ht="10.5" customHeight="1" hidden="1">
      <c r="A67" s="29" t="s">
        <v>56</v>
      </c>
      <c r="B67" s="41"/>
      <c r="C67" s="54"/>
      <c r="D67" s="55"/>
      <c r="E67" s="73"/>
      <c r="F67" s="34"/>
      <c r="G67" s="54"/>
      <c r="H67" s="55"/>
      <c r="I67" s="56"/>
    </row>
    <row r="68" spans="1:9" s="4" customFormat="1" ht="10.5" customHeight="1" hidden="1">
      <c r="A68" s="9" t="s">
        <v>57</v>
      </c>
      <c r="B68" s="30"/>
      <c r="C68" s="54">
        <f>2005/2005*1000-1000</f>
        <v>0</v>
      </c>
      <c r="D68" s="55">
        <f>2005/2005*1000-1000</f>
        <v>0</v>
      </c>
      <c r="E68" s="73">
        <f>2005/2005*1000-1000</f>
        <v>0</v>
      </c>
      <c r="F68" s="34"/>
      <c r="G68" s="54"/>
      <c r="H68" s="55"/>
      <c r="I68" s="56">
        <f>2005/2005*1000-1000</f>
        <v>0</v>
      </c>
    </row>
    <row r="69" spans="1:9" s="4" customFormat="1" ht="10.5" customHeight="1">
      <c r="A69" s="9" t="s">
        <v>31</v>
      </c>
      <c r="B69" s="30"/>
      <c r="C69" s="60">
        <v>1000</v>
      </c>
      <c r="D69" s="61">
        <f>1000-1000</f>
        <v>0</v>
      </c>
      <c r="E69" s="73"/>
      <c r="F69" s="34"/>
      <c r="G69" s="54"/>
      <c r="H69" s="55"/>
      <c r="I69" s="56"/>
    </row>
    <row r="70" spans="1:9" s="4" customFormat="1" ht="10.5" customHeight="1" hidden="1">
      <c r="A70" s="29" t="s">
        <v>50</v>
      </c>
      <c r="B70" s="16"/>
      <c r="C70" s="60"/>
      <c r="D70" s="61"/>
      <c r="E70" s="73"/>
      <c r="F70" s="34"/>
      <c r="G70" s="54"/>
      <c r="H70" s="55"/>
      <c r="I70" s="56"/>
    </row>
    <row r="71" spans="1:9" s="4" customFormat="1" ht="12.75">
      <c r="A71" s="9" t="s">
        <v>32</v>
      </c>
      <c r="B71" s="30"/>
      <c r="C71" s="60">
        <f>6262+701+2005/2005*537-7500+2006/2006*7500*1.02</f>
        <v>7650</v>
      </c>
      <c r="D71" s="61">
        <f>6262+701+2005/2005*537-7500+2006/2006*7500*1.02-7650*0+13101/13101*19.5</f>
        <v>7669.5</v>
      </c>
      <c r="E71" s="73">
        <f>7244500*0+7277791.35+255908.83+13101/13101*19500</f>
        <v>7553200.18</v>
      </c>
      <c r="F71" s="34"/>
      <c r="G71" s="54"/>
      <c r="H71" s="55">
        <f>13101/13101*19.5</f>
        <v>19.5</v>
      </c>
      <c r="I71" s="56">
        <f>13101/13101*19500</f>
        <v>19500</v>
      </c>
    </row>
    <row r="72" spans="1:9" s="4" customFormat="1" ht="12.75">
      <c r="A72" s="9" t="s">
        <v>43</v>
      </c>
      <c r="B72" s="30"/>
      <c r="C72" s="57">
        <f>SUM(C60:C71)</f>
        <v>8650</v>
      </c>
      <c r="D72" s="58">
        <f>SUM(D60:D71)</f>
        <v>7669.5</v>
      </c>
      <c r="E72" s="74">
        <f>SUM(E60:E71)</f>
        <v>7553200.18</v>
      </c>
      <c r="F72" s="34"/>
      <c r="G72" s="57">
        <f>SUM(G60:G71)</f>
        <v>0</v>
      </c>
      <c r="H72" s="58">
        <f>SUM(H60:H71)</f>
        <v>19.5</v>
      </c>
      <c r="I72" s="59">
        <f>SUM(I60:I71)</f>
        <v>19500</v>
      </c>
    </row>
    <row r="73" spans="1:9" s="4" customFormat="1" ht="11.25">
      <c r="A73" s="9" t="s">
        <v>33</v>
      </c>
      <c r="B73" s="30"/>
      <c r="C73" s="57"/>
      <c r="D73" s="58"/>
      <c r="E73" s="74"/>
      <c r="F73" s="16" t="s">
        <v>34</v>
      </c>
      <c r="G73" s="60">
        <f>100+20+2005/2005*100-220+2006/2006*220*1.03+0.4-227*0</f>
        <v>227</v>
      </c>
      <c r="H73" s="61">
        <f>100+20+2005/2005*100-220+2006/2006*220*1.03+0.4-227*0</f>
        <v>227</v>
      </c>
      <c r="I73" s="56">
        <v>169803</v>
      </c>
    </row>
    <row r="74" spans="1:9" s="4" customFormat="1" ht="10.5" customHeight="1">
      <c r="A74" s="9"/>
      <c r="B74" s="30"/>
      <c r="C74" s="57"/>
      <c r="D74" s="58"/>
      <c r="E74" s="74"/>
      <c r="F74" s="16" t="s">
        <v>35</v>
      </c>
      <c r="G74" s="60">
        <f>3576+500-2004/2004*4076+2005/2005*(1341/1341*320+1342/1342*50+1343/1343*700+1344/1344*25+1345/1345*230+1347/1347*(550+320+300))*2006/2006*1.08657314</f>
        <v>2710.9999843</v>
      </c>
      <c r="H74" s="61">
        <f>3576+500-2004/2004*4076+2005/2005*(1341/1341*320+1342/1342*50+1343/1343*700+1344/1344*25+1345/1345*230+1347/1347*(550+320+300))*2006/2006*1.08657314-2711+((348*0+248)+54+761+(27*0+13)+(250*0+277)+(1271*0+1492.4))</f>
        <v>2845.3999843</v>
      </c>
      <c r="I74" s="56">
        <f>245061.5+60135+806095+13123+287156+1275571.5</f>
        <v>2687142</v>
      </c>
    </row>
    <row r="75" spans="1:9" s="4" customFormat="1" ht="10.5" customHeight="1">
      <c r="A75" s="9"/>
      <c r="B75" s="30"/>
      <c r="C75" s="57"/>
      <c r="D75" s="58"/>
      <c r="E75" s="74"/>
      <c r="F75" s="16" t="s">
        <v>36</v>
      </c>
      <c r="G75" s="60">
        <f>1361/1361*(4220-520)</f>
        <v>3700</v>
      </c>
      <c r="H75" s="61">
        <f>1361/1361*(4220-520)</f>
        <v>3700</v>
      </c>
      <c r="I75" s="56">
        <v>3484945</v>
      </c>
    </row>
    <row r="76" spans="1:9" s="4" customFormat="1" ht="10.5" customHeight="1">
      <c r="A76" s="9"/>
      <c r="B76" s="30"/>
      <c r="C76" s="57"/>
      <c r="D76" s="58"/>
      <c r="E76" s="74"/>
      <c r="F76" s="16" t="s">
        <v>37</v>
      </c>
      <c r="G76" s="60">
        <f>2004/2004*11750+250-2005/2005*(4000-2400)-10400+2006/2006*12102</f>
        <v>12102</v>
      </c>
      <c r="H76" s="61">
        <f>2004/2004*11750+250-2005/2005*(4000-2400)-10400+2006/2006*(12102+2000)</f>
        <v>14102</v>
      </c>
      <c r="I76" s="56">
        <f>11506261</f>
        <v>11506261</v>
      </c>
    </row>
    <row r="77" spans="1:9" s="4" customFormat="1" ht="11.25">
      <c r="A77" s="9"/>
      <c r="B77" s="30"/>
      <c r="C77" s="57"/>
      <c r="D77" s="58"/>
      <c r="E77" s="74"/>
      <c r="F77" s="16" t="s">
        <v>38</v>
      </c>
      <c r="G77" s="60">
        <f>2002/2002*2003/2003*4300-1000+2005/2005*600</f>
        <v>3900</v>
      </c>
      <c r="H77" s="61">
        <f>2002/2002*2003/2003*4300-1000+2005/2005*600</f>
        <v>3900</v>
      </c>
      <c r="I77" s="56">
        <v>4972204.31</v>
      </c>
    </row>
    <row r="78" spans="1:9" s="1" customFormat="1" ht="15.75">
      <c r="A78" s="9" t="s">
        <v>43</v>
      </c>
      <c r="B78" s="30"/>
      <c r="C78" s="57">
        <f>SUM(C73:C77)</f>
        <v>0</v>
      </c>
      <c r="D78" s="58">
        <f>SUM(D73:D77)</f>
        <v>0</v>
      </c>
      <c r="E78" s="74">
        <f>SUM(E73:E77)</f>
        <v>0</v>
      </c>
      <c r="F78" s="34"/>
      <c r="G78" s="57">
        <f>SUM(G73:G77)</f>
        <v>22639.9999843</v>
      </c>
      <c r="H78" s="58">
        <f>SUM(H73:H77)</f>
        <v>24774.3999843</v>
      </c>
      <c r="I78" s="59">
        <f>SUM(I73:I77)</f>
        <v>22820355.31</v>
      </c>
    </row>
    <row r="79" spans="1:9" s="3" customFormat="1" ht="11.25">
      <c r="A79" s="28"/>
      <c r="B79" s="31"/>
      <c r="C79" s="54"/>
      <c r="D79" s="55"/>
      <c r="E79" s="73"/>
      <c r="F79" s="16" t="s">
        <v>88</v>
      </c>
      <c r="G79" s="60">
        <f>(645+750/750*14+705/705*47-2002/2002*706+2003/2003*(776*904/1000)-0.504-701+2004/2004*(755*1221/1000+0.145)+2005/2005*(716-755)*1.221-0.381-874)+2006/2006*722*1282/1000+0.396</f>
        <v>926</v>
      </c>
      <c r="H79" s="61">
        <f>(645+750/750*14+705/705*47-2002/2002*706+2003/2003*(776*904/1000)-0.504-701+2004/2004*(755*1221/1000+0.145)+2005/2005*(716-755)*1.221-0.381-874)+2006/2006*722*1282/1000+0.396</f>
        <v>926</v>
      </c>
      <c r="I79" s="56">
        <f>H79*1000</f>
        <v>926000</v>
      </c>
    </row>
    <row r="80" spans="1:9" s="3" customFormat="1" ht="10.5" customHeight="1">
      <c r="A80" s="28"/>
      <c r="B80" s="31"/>
      <c r="C80" s="54"/>
      <c r="D80" s="55"/>
      <c r="E80" s="73"/>
      <c r="F80" s="16" t="s">
        <v>39</v>
      </c>
      <c r="G80" s="60">
        <f>3180+2003/2003*3770-6950+2004/2004*7000-7000+2005/2005*5900*0+2006/2006*7100</f>
        <v>7100</v>
      </c>
      <c r="H80" s="61">
        <f>3180+2003/2003*3770-6950+2004/2004*7000-7000+2005/2005*5900*0+2006/2006*7100+2450</f>
        <v>9550</v>
      </c>
      <c r="I80" s="56">
        <f>H80*1000</f>
        <v>9550000</v>
      </c>
    </row>
    <row r="81" spans="1:9" s="3" customFormat="1" ht="10.5" customHeight="1">
      <c r="A81" s="28"/>
      <c r="B81" s="31"/>
      <c r="C81" s="54"/>
      <c r="D81" s="55"/>
      <c r="E81" s="73"/>
      <c r="F81" s="16" t="s">
        <v>40</v>
      </c>
      <c r="G81" s="60">
        <f>(6878+2003/2003*516-7394+2004/2004*1090.7/1000*7178-0.0446-7829+7829-7829+8344/7254+1.15*7254+0.74974-8344)+2006/2006*8810000/7945*0+7945*1108.873507/1000-0.000015</f>
        <v>8810.000000039452</v>
      </c>
      <c r="H81" s="61">
        <f>(6878+2003/2003*516-7394+2004/2004*1090.7/1000*7178-0.0446-7829+7829-7829+8344/7254+1.15*7254+0.74974-8344)+2006/2006*8810000/7945*0+7945*1108.873507/1000-0.000015</f>
        <v>8810.000000039452</v>
      </c>
      <c r="I81" s="56">
        <f>H81*1000</f>
        <v>8810000.000039453</v>
      </c>
    </row>
    <row r="82" spans="1:9" s="3" customFormat="1" ht="11.25">
      <c r="A82" s="28"/>
      <c r="B82" s="31" t="s">
        <v>43</v>
      </c>
      <c r="C82" s="57">
        <f>SUM(C79:C81)</f>
        <v>0</v>
      </c>
      <c r="D82" s="58">
        <f>SUM(D79:D81)</f>
        <v>0</v>
      </c>
      <c r="E82" s="74">
        <f>SUM(E79:E81)</f>
        <v>0</v>
      </c>
      <c r="F82" s="45" t="s">
        <v>83</v>
      </c>
      <c r="G82" s="57">
        <f>SUM(G79:G81)</f>
        <v>16836.00000003945</v>
      </c>
      <c r="H82" s="58">
        <f>SUM(H79:H81)</f>
        <v>19286.00000003945</v>
      </c>
      <c r="I82" s="59">
        <f>SUM(I79:I81)</f>
        <v>19286000.00003945</v>
      </c>
    </row>
    <row r="83" spans="1:9" s="3" customFormat="1" ht="12.75" customHeight="1" hidden="1">
      <c r="A83" s="9" t="s">
        <v>41</v>
      </c>
      <c r="B83" s="31"/>
      <c r="C83" s="54"/>
      <c r="D83" s="55"/>
      <c r="E83" s="73"/>
      <c r="F83" s="34"/>
      <c r="G83" s="64"/>
      <c r="H83" s="65"/>
      <c r="I83" s="56"/>
    </row>
    <row r="84" spans="1:9" s="3" customFormat="1" ht="10.5" customHeight="1" hidden="1">
      <c r="A84" s="28"/>
      <c r="B84" s="31"/>
      <c r="C84" s="54" t="s">
        <v>43</v>
      </c>
      <c r="D84" s="55" t="s">
        <v>43</v>
      </c>
      <c r="E84" s="73" t="s">
        <v>43</v>
      </c>
      <c r="F84" s="34"/>
      <c r="G84" s="60">
        <f>(1490*1.0633-0.317-1584*0)*0</f>
        <v>0</v>
      </c>
      <c r="H84" s="61">
        <f>(1490*1.0633-0.317-1584*0)*0</f>
        <v>0</v>
      </c>
      <c r="I84" s="56" t="s">
        <v>43</v>
      </c>
    </row>
    <row r="85" spans="1:9" s="3" customFormat="1" ht="10.5" customHeight="1">
      <c r="A85" s="28"/>
      <c r="B85" s="31"/>
      <c r="C85" s="54" t="s">
        <v>43</v>
      </c>
      <c r="D85" s="55" t="s">
        <v>43</v>
      </c>
      <c r="E85" s="73" t="s">
        <v>43</v>
      </c>
      <c r="F85" s="16" t="s">
        <v>59</v>
      </c>
      <c r="G85" s="60">
        <f>(1248*1.0633+0.0016-1327*0)*0+2006/2006*(10415/9.31-1118.7*0)*0+1118.689581*9.31</f>
        <v>10414.999999110001</v>
      </c>
      <c r="H85" s="61">
        <f>(1248*1.0633+0.0016-1327*0)*0+2006/2006*(10415/9.31-1118.7*0)*0+1118.689581*9.31</f>
        <v>10414.999999110001</v>
      </c>
      <c r="I85" s="56">
        <f>H85*1000</f>
        <v>10414999.999110002</v>
      </c>
    </row>
    <row r="86" spans="1:9" s="3" customFormat="1" ht="10.5" customHeight="1">
      <c r="A86" s="28"/>
      <c r="B86" s="31"/>
      <c r="C86" s="54" t="s">
        <v>43</v>
      </c>
      <c r="D86" s="55" t="s">
        <v>43</v>
      </c>
      <c r="E86" s="73" t="s">
        <v>43</v>
      </c>
      <c r="F86" s="16" t="s">
        <v>89</v>
      </c>
      <c r="G86" s="60">
        <f>(5985*1.0633+0.1495-6364*0)*0+2006/2006*((7028+537/3+2005/2005*23948-2006/2006*24485-6670)*0+2005/2005*23948*1.011900785-G85-G87)+0.000247*0</f>
        <v>6775.999999969998</v>
      </c>
      <c r="H86" s="61">
        <f>(5985*1.0633+0.1495-6364*0)*0+2006/2006*((7028+537/3+2005/2005*23948-2006/2006*24485-6670)*0+2005/2005*23948*1.011900785-H85-H87)</f>
        <v>6775.999999969998</v>
      </c>
      <c r="I86" s="56">
        <f>H86*1000</f>
        <v>6775999.999969997</v>
      </c>
    </row>
    <row r="87" spans="1:9" s="3" customFormat="1" ht="10.5" customHeight="1">
      <c r="A87" s="28"/>
      <c r="B87" s="31"/>
      <c r="C87" s="54" t="s">
        <v>43</v>
      </c>
      <c r="D87" s="55" t="s">
        <v>43</v>
      </c>
      <c r="E87" s="73" t="s">
        <v>43</v>
      </c>
      <c r="F87" s="16" t="s">
        <v>60</v>
      </c>
      <c r="G87" s="60">
        <f>(9771*1.0633+0.4957+2004/2004*4171+2005/2005*112-14673*0)*0+2006/2006*(7042000/7839-898.329)*0+7839*898.3289/1000-0.000247</f>
        <v>7042.000000100001</v>
      </c>
      <c r="H87" s="61">
        <f>(9771*1.0633+0.4957+2004/2004*4171+2005/2005*112-14673*0)*0+2006/2006*(7042000/7839-898.329)*0+7839*898.3289/1000-0.000247</f>
        <v>7042.000000100001</v>
      </c>
      <c r="I87" s="56">
        <f>H87*1000</f>
        <v>7042000.000100001</v>
      </c>
    </row>
    <row r="88" spans="1:9" s="3" customFormat="1" ht="10.5" customHeight="1">
      <c r="A88" s="28"/>
      <c r="B88" s="16"/>
      <c r="C88" s="57">
        <f>SUM(C84:C87)</f>
        <v>0</v>
      </c>
      <c r="D88" s="58">
        <f>SUM(D84:D87)</f>
        <v>0</v>
      </c>
      <c r="E88" s="74">
        <f>SUM(E84:E87)</f>
        <v>0</v>
      </c>
      <c r="F88" s="45" t="s">
        <v>58</v>
      </c>
      <c r="G88" s="57">
        <f>SUM(G84:G87)</f>
        <v>24232.99999918</v>
      </c>
      <c r="H88" s="58">
        <f>SUM(H84:H87)</f>
        <v>24232.99999918</v>
      </c>
      <c r="I88" s="59">
        <f>SUM(I84:I87)</f>
        <v>24232999.99918</v>
      </c>
    </row>
    <row r="89" spans="1:9" s="3" customFormat="1" ht="12.75" hidden="1">
      <c r="A89" s="28"/>
      <c r="B89" s="31"/>
      <c r="C89" s="54"/>
      <c r="D89" s="55"/>
      <c r="E89" s="73"/>
      <c r="F89" s="34"/>
      <c r="G89" s="64"/>
      <c r="H89" s="65"/>
      <c r="I89" s="56"/>
    </row>
    <row r="90" spans="1:9" s="3" customFormat="1" ht="11.25">
      <c r="A90" s="28"/>
      <c r="B90" s="16"/>
      <c r="C90" s="54"/>
      <c r="D90" s="55"/>
      <c r="E90" s="73"/>
      <c r="F90" s="16" t="s">
        <v>84</v>
      </c>
      <c r="G90" s="64"/>
      <c r="H90" s="65">
        <f>92/92*85.4+99/99*2019</f>
        <v>2104.4</v>
      </c>
      <c r="I90" s="56">
        <f>92/92*85408.36+99/99*2018975.11</f>
        <v>2104383.47</v>
      </c>
    </row>
    <row r="91" spans="1:9" s="3" customFormat="1" ht="12" thickBot="1">
      <c r="A91" s="32"/>
      <c r="B91" s="43"/>
      <c r="C91" s="66">
        <f>SUM(C89:C90)</f>
        <v>0</v>
      </c>
      <c r="D91" s="67">
        <f>SUM(D89:D90)</f>
        <v>0</v>
      </c>
      <c r="E91" s="75">
        <f>SUM(E89:E90)</f>
        <v>0</v>
      </c>
      <c r="F91" s="46" t="s">
        <v>42</v>
      </c>
      <c r="G91" s="66">
        <f>SUM(G89:G90)</f>
        <v>0</v>
      </c>
      <c r="H91" s="67">
        <f>SUM(H89:H90)</f>
        <v>2104.4</v>
      </c>
      <c r="I91" s="68">
        <f>SUM(I89:I90)</f>
        <v>2104383.47</v>
      </c>
    </row>
    <row r="92" spans="1:9" s="6" customFormat="1" ht="13.5" thickBot="1" thickTop="1">
      <c r="A92" s="25" t="s">
        <v>85</v>
      </c>
      <c r="B92" s="44"/>
      <c r="C92" s="69">
        <f>SUM(C4:C91)/2</f>
        <v>67500</v>
      </c>
      <c r="D92" s="70">
        <f>SUM(D4:D91)/2</f>
        <v>97548.10000000002</v>
      </c>
      <c r="E92" s="26">
        <f>SUM(E4:E91)/2</f>
        <v>103805946.00000001</v>
      </c>
      <c r="F92" s="47" t="s">
        <v>81</v>
      </c>
      <c r="G92" s="69">
        <f>SUM(G4:G91)/2</f>
        <v>67499.99998351946</v>
      </c>
      <c r="H92" s="70">
        <f>SUM(H4:H91)/2</f>
        <v>90829.19998351944</v>
      </c>
      <c r="I92" s="26">
        <f>SUM(I4:I91)/2</f>
        <v>89896391.13921945</v>
      </c>
    </row>
    <row r="93" spans="2:9" s="5" customFormat="1" ht="20.25" customHeight="1" thickTop="1">
      <c r="B93" s="8" t="s">
        <v>43</v>
      </c>
      <c r="C93" s="11"/>
      <c r="D93" s="11"/>
      <c r="E93" s="14"/>
      <c r="F93" s="17" t="s">
        <v>86</v>
      </c>
      <c r="G93" s="18">
        <f>G92-C92</f>
        <v>-1.6480538761243224E-05</v>
      </c>
      <c r="H93" s="18">
        <f>H92-D92</f>
        <v>-6718.900016480577</v>
      </c>
      <c r="I93" s="19">
        <f>I92-E92</f>
        <v>-13909554.860780567</v>
      </c>
    </row>
    <row r="94" spans="2:9" ht="27.75">
      <c r="B94"/>
      <c r="C94" s="12"/>
      <c r="D94" s="12"/>
      <c r="E94" s="15"/>
      <c r="F94" s="2"/>
      <c r="G94" s="20"/>
      <c r="H94" s="21" t="s">
        <v>92</v>
      </c>
      <c r="I94" s="22"/>
    </row>
    <row r="95" spans="1:9" ht="12.75">
      <c r="A95"/>
      <c r="B95"/>
      <c r="C95" s="12"/>
      <c r="D95" s="12"/>
      <c r="E95" s="15"/>
      <c r="F95" s="2"/>
      <c r="G95" s="20"/>
      <c r="H95" s="21">
        <f>3/3*983.8+4/4*460.1+6/6*(240.8+2449.4+474.8)</f>
        <v>4608.900000000001</v>
      </c>
      <c r="I95" s="23">
        <f>3/3*983803+4/4*430276.76+6/6*(240818+2449373.41+476856.5)</f>
        <v>4581127.67</v>
      </c>
    </row>
    <row r="96" spans="1:9" ht="12.75">
      <c r="A96"/>
      <c r="B96"/>
      <c r="C96" s="12"/>
      <c r="D96" s="12"/>
      <c r="E96" s="15"/>
      <c r="F96" s="24"/>
      <c r="G96" s="21" t="s">
        <v>93</v>
      </c>
      <c r="H96" s="21">
        <f>H42</f>
        <v>-2110</v>
      </c>
      <c r="I96" s="23">
        <f>I42</f>
        <v>-2110041.85</v>
      </c>
    </row>
    <row r="97" spans="1:6" ht="12.75">
      <c r="A97"/>
      <c r="B97"/>
      <c r="C97" s="12"/>
      <c r="D97" s="12"/>
      <c r="E97" s="15"/>
      <c r="F97" s="24"/>
    </row>
  </sheetData>
  <mergeCells count="4">
    <mergeCell ref="A2:B3"/>
    <mergeCell ref="C2:E2"/>
    <mergeCell ref="G2:I2"/>
    <mergeCell ref="F2:F3"/>
  </mergeCells>
  <printOptions/>
  <pageMargins left="0.3937007874015748" right="0" top="0.5905511811023623" bottom="0.5905511811023623" header="0.11811023622047245" footer="0.11811023622047245"/>
  <pageSetup horizontalDpi="600" verticalDpi="600" orientation="portrait" paperSize="9" scale="80" r:id="rId1"/>
  <headerFooter alignWithMargins="0">
    <oddHeader xml:space="preserve">&amp;L&amp;"MS Sans Serif,tučná kurzíva"&amp;12&amp;A&amp;R&amp;"MS Sans Serif,tučná kurzíva"&amp;12MČ Praha 16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Radotin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</dc:creator>
  <cp:keywords/>
  <dc:description/>
  <cp:lastModifiedBy>cernajan</cp:lastModifiedBy>
  <cp:lastPrinted>2007-04-17T11:33:15Z</cp:lastPrinted>
  <dcterms:created xsi:type="dcterms:W3CDTF">2003-04-03T06:35:09Z</dcterms:created>
  <dcterms:modified xsi:type="dcterms:W3CDTF">2007-07-19T13:17:57Z</dcterms:modified>
  <cp:category/>
  <cp:version/>
  <cp:contentType/>
  <cp:contentStatus/>
</cp:coreProperties>
</file>