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010" windowWidth="14655" windowHeight="7080" activeTab="0"/>
  </bookViews>
  <sheets>
    <sheet name="Hospodaření MČ SR UR skut 06 07" sheetId="1" r:id="rId1"/>
  </sheets>
  <definedNames>
    <definedName name="_xlnm.Print_Titles" localSheetId="0">'Hospodaření MČ SR UR skut 06 07'!$1:$2</definedName>
  </definedNames>
  <calcPr fullCalcOnLoad="1"/>
</workbook>
</file>

<file path=xl/sharedStrings.xml><?xml version="1.0" encoding="utf-8"?>
<sst xmlns="http://schemas.openxmlformats.org/spreadsheetml/2006/main" count="252" uniqueCount="171">
  <si>
    <t>soc-zdrav</t>
  </si>
  <si>
    <t>příspěvek na péči</t>
  </si>
  <si>
    <t>školství</t>
  </si>
  <si>
    <t>úprava rozpočtu</t>
  </si>
  <si>
    <t>rozvoj obce</t>
  </si>
  <si>
    <t>sběrný dvůr</t>
  </si>
  <si>
    <t>revit.poz. TS</t>
  </si>
  <si>
    <t>dětská hřiště</t>
  </si>
  <si>
    <t>upravený rozpočet</t>
  </si>
  <si>
    <t>komunikace</t>
  </si>
  <si>
    <t>Radk-Stráž</t>
  </si>
  <si>
    <t>Safír</t>
  </si>
  <si>
    <t>vodní hosp.</t>
  </si>
  <si>
    <t>Mateřská škola</t>
  </si>
  <si>
    <t>Základní škola</t>
  </si>
  <si>
    <t>Školní jídelna</t>
  </si>
  <si>
    <t>LSPP</t>
  </si>
  <si>
    <t>prevence</t>
  </si>
  <si>
    <t>4174-99</t>
  </si>
  <si>
    <t>dávky soc. péče</t>
  </si>
  <si>
    <t>dům s peč.sl</t>
  </si>
  <si>
    <t>4312/1</t>
  </si>
  <si>
    <t xml:space="preserve">nový dům s peč. sl </t>
  </si>
  <si>
    <t>43122/2</t>
  </si>
  <si>
    <t>strav. zařízení</t>
  </si>
  <si>
    <t>peč. služba</t>
  </si>
  <si>
    <t>péče</t>
  </si>
  <si>
    <t>péče o mládež</t>
  </si>
  <si>
    <t>jesle</t>
  </si>
  <si>
    <t>soc. právní ochrana dětí</t>
  </si>
  <si>
    <t>kultura</t>
  </si>
  <si>
    <t>kino</t>
  </si>
  <si>
    <t>knihovna</t>
  </si>
  <si>
    <t>kult.střed</t>
  </si>
  <si>
    <t>hřiště</t>
  </si>
  <si>
    <t>bezpečnost</t>
  </si>
  <si>
    <t>JSDH</t>
  </si>
  <si>
    <t>JSDH účel</t>
  </si>
  <si>
    <t>hospodářství</t>
  </si>
  <si>
    <t>Domovní správa</t>
  </si>
  <si>
    <t>Techn. služby</t>
  </si>
  <si>
    <t>správa</t>
  </si>
  <si>
    <t>ZMČ</t>
  </si>
  <si>
    <t>ÚMČ</t>
  </si>
  <si>
    <t>SFZ</t>
  </si>
  <si>
    <t>V Ý D A J E</t>
  </si>
  <si>
    <t>P Ř Í J M Y</t>
  </si>
  <si>
    <t>stát DSP</t>
  </si>
  <si>
    <t>DPPO</t>
  </si>
  <si>
    <t>nahod</t>
  </si>
  <si>
    <t>úroky</t>
  </si>
  <si>
    <t>FV 2006</t>
  </si>
  <si>
    <t>UZ 13306</t>
  </si>
  <si>
    <t>UZ 13235</t>
  </si>
  <si>
    <t>kamer.syst</t>
  </si>
  <si>
    <t>klub</t>
  </si>
  <si>
    <t>Noviny P 16</t>
  </si>
  <si>
    <t>čp. 21</t>
  </si>
  <si>
    <t>čp. 23</t>
  </si>
  <si>
    <t>čp. 732</t>
  </si>
  <si>
    <t>čp. 1379</t>
  </si>
  <si>
    <t xml:space="preserve"> TS objekt, služby</t>
  </si>
  <si>
    <t>infrastr</t>
  </si>
  <si>
    <r>
      <t>schválený</t>
    </r>
    <r>
      <rPr>
        <b/>
        <i/>
        <sz val="8"/>
        <rFont val="Arial CE"/>
        <family val="2"/>
      </rPr>
      <t xml:space="preserve"> rozpočet 2007</t>
    </r>
  </si>
  <si>
    <t>2210 sankce:</t>
  </si>
  <si>
    <t>2321 neinv.dary:</t>
  </si>
  <si>
    <t>2322 poj.plnění:</t>
  </si>
  <si>
    <t>2329 nahodilé:</t>
  </si>
  <si>
    <t>2343 dobýv.:</t>
  </si>
  <si>
    <t>SprPopl 1361:</t>
  </si>
  <si>
    <t>DzN:</t>
  </si>
  <si>
    <t>4112 stát školství:</t>
  </si>
  <si>
    <t>4112 stát st.spr:</t>
  </si>
  <si>
    <t>4121 HMP:</t>
  </si>
  <si>
    <t>předpokl stavu úvěru 31/12/07</t>
  </si>
  <si>
    <t>4131 ekon:čin</t>
  </si>
  <si>
    <t>nyní 3639</t>
  </si>
  <si>
    <t>výsledek</t>
  </si>
  <si>
    <t xml:space="preserve"> V Ý D A J E</t>
  </si>
  <si>
    <t xml:space="preserve"> P Ř Í J M Y</t>
  </si>
  <si>
    <t>2 0 0 7</t>
  </si>
  <si>
    <t>záloha na FV 2006</t>
  </si>
  <si>
    <t>hřbit.popl ÚMČ</t>
  </si>
  <si>
    <t>FV 2007          k vrácení</t>
  </si>
  <si>
    <t>ponecháno      do 2008</t>
  </si>
  <si>
    <t>ponecháno       z 2006</t>
  </si>
  <si>
    <t>DPPO za 2006 vratka EČ</t>
  </si>
  <si>
    <t>Účelové prostředky poskytnuté státem nebo HMP:</t>
  </si>
  <si>
    <t xml:space="preserve"> 00090</t>
  </si>
  <si>
    <t>VÝDAJE  účel. prostř</t>
  </si>
  <si>
    <t>VÝDAJE  c e l k e m</t>
  </si>
  <si>
    <t>PŘÍJMY účel. prostř</t>
  </si>
  <si>
    <t>PŘÍJMY  c e l k e m</t>
  </si>
  <si>
    <t>výsledek účel. prostř</t>
  </si>
  <si>
    <t>výsledek  c e l k e m</t>
  </si>
  <si>
    <t xml:space="preserve"> </t>
  </si>
  <si>
    <t>dopl odv. MP</t>
  </si>
  <si>
    <t>FV dopl</t>
  </si>
  <si>
    <t>celkem k odvodu</t>
  </si>
  <si>
    <t xml:space="preserve"> 00081</t>
  </si>
  <si>
    <t>HMP účel</t>
  </si>
  <si>
    <t>ponech z roku 2006</t>
  </si>
  <si>
    <t xml:space="preserve"> 13306</t>
  </si>
  <si>
    <t xml:space="preserve"> 13235</t>
  </si>
  <si>
    <t>stát účel</t>
  </si>
  <si>
    <t>hřiště 8829</t>
  </si>
  <si>
    <t>JSDH účel 8895</t>
  </si>
  <si>
    <t>agenda soc. služeb</t>
  </si>
  <si>
    <t>agenda soc. právní ochrana dětí</t>
  </si>
  <si>
    <t xml:space="preserve"> 00084</t>
  </si>
  <si>
    <t>nadace VIA ponech z roku 2006</t>
  </si>
  <si>
    <t xml:space="preserve"> 98216</t>
  </si>
  <si>
    <t xml:space="preserve"> 98116</t>
  </si>
  <si>
    <r>
      <t xml:space="preserve"> = vlastní prostř. MČ + </t>
    </r>
    <r>
      <rPr>
        <sz val="7"/>
        <color indexed="20"/>
        <rFont val="Arial CE"/>
        <family val="2"/>
      </rPr>
      <t>ponech z roku 2006</t>
    </r>
  </si>
  <si>
    <t xml:space="preserve"> 02/ 3745</t>
  </si>
  <si>
    <t xml:space="preserve"> 02/ 3421</t>
  </si>
  <si>
    <t xml:space="preserve"> 02/ 2310</t>
  </si>
  <si>
    <t xml:space="preserve"> 02/ 3722</t>
  </si>
  <si>
    <t xml:space="preserve"> 03/ 2212</t>
  </si>
  <si>
    <t xml:space="preserve"> 04/ 3113</t>
  </si>
  <si>
    <t xml:space="preserve"> 04/ 3111</t>
  </si>
  <si>
    <t xml:space="preserve"> 05/ 3513</t>
  </si>
  <si>
    <t>LSPP provoz</t>
  </si>
  <si>
    <t xml:space="preserve"> 05/ 3541</t>
  </si>
  <si>
    <t xml:space="preserve"> 06/ 3412</t>
  </si>
  <si>
    <t xml:space="preserve"> 06/ 3314</t>
  </si>
  <si>
    <t>Knihovna knihy</t>
  </si>
  <si>
    <t>sociální služby</t>
  </si>
  <si>
    <t>dětská hřiště 8846,8887</t>
  </si>
  <si>
    <t>nedočerp grant hřiště</t>
  </si>
  <si>
    <t xml:space="preserve"> 02/3421</t>
  </si>
  <si>
    <t>DDH vybavení</t>
  </si>
  <si>
    <t xml:space="preserve"> 03/2212</t>
  </si>
  <si>
    <t>výkup pozemků</t>
  </si>
  <si>
    <t xml:space="preserve"> 09/6171</t>
  </si>
  <si>
    <t>SSP poštovné</t>
  </si>
  <si>
    <t xml:space="preserve"> 98031</t>
  </si>
  <si>
    <t>ZOZ</t>
  </si>
  <si>
    <r>
      <t xml:space="preserve">   4375      </t>
    </r>
    <r>
      <rPr>
        <strike/>
        <sz val="7"/>
        <rFont val="Arial CE"/>
        <family val="2"/>
      </rPr>
      <t>4329</t>
    </r>
  </si>
  <si>
    <t>viz HMP účel</t>
  </si>
  <si>
    <t>viz stát účel</t>
  </si>
  <si>
    <t>2460 SFZ</t>
  </si>
  <si>
    <t xml:space="preserve"> účetní stav   30.06.2007</t>
  </si>
  <si>
    <r>
      <t xml:space="preserve">    3539    </t>
    </r>
    <r>
      <rPr>
        <strike/>
        <sz val="8"/>
        <rFont val="Arial CE"/>
        <family val="2"/>
      </rPr>
      <t>4322</t>
    </r>
  </si>
  <si>
    <t xml:space="preserve"> 05/4375</t>
  </si>
  <si>
    <t>klub prev.kriminality</t>
  </si>
  <si>
    <t xml:space="preserve"> 98064</t>
  </si>
  <si>
    <t>jen 4329</t>
  </si>
  <si>
    <t xml:space="preserve"> 07/5512</t>
  </si>
  <si>
    <t>JSDH vyb,údržba</t>
  </si>
  <si>
    <t xml:space="preserve"> 07/ 5512</t>
  </si>
  <si>
    <t>čp. 1368,2105,NZZ</t>
  </si>
  <si>
    <t>mzdy st.správy</t>
  </si>
  <si>
    <t>vodovod K Lázním</t>
  </si>
  <si>
    <t xml:space="preserve">   přefakturace</t>
  </si>
  <si>
    <r>
      <t xml:space="preserve">ZUŠ  </t>
    </r>
    <r>
      <rPr>
        <sz val="7"/>
        <rFont val="Arial CE"/>
        <family val="2"/>
      </rPr>
      <t>přefakturace</t>
    </r>
  </si>
  <si>
    <r>
      <t>Gymnasium</t>
    </r>
    <r>
      <rPr>
        <sz val="7"/>
        <rFont val="Arial CE"/>
        <family val="2"/>
      </rPr>
      <t xml:space="preserve"> přefakt</t>
    </r>
  </si>
  <si>
    <t>Místní popl     1341-5,7</t>
  </si>
  <si>
    <t>vratky dávek</t>
  </si>
  <si>
    <t>klub VIA</t>
  </si>
  <si>
    <t>Základní škola statika, …</t>
  </si>
  <si>
    <t>Mateřská škola okna,termovent</t>
  </si>
  <si>
    <t>Skate park 4387</t>
  </si>
  <si>
    <t>Sport.hala 8233</t>
  </si>
  <si>
    <r>
      <t xml:space="preserve">DDH vybudování </t>
    </r>
    <r>
      <rPr>
        <i/>
        <sz val="8"/>
        <rFont val="Arial CE"/>
        <family val="2"/>
      </rPr>
      <t>4491</t>
    </r>
  </si>
  <si>
    <r>
      <t xml:space="preserve">DDH vybudování </t>
    </r>
    <r>
      <rPr>
        <i/>
        <sz val="8"/>
        <rFont val="Arial CE"/>
        <family val="2"/>
      </rPr>
      <t>4635</t>
    </r>
  </si>
  <si>
    <r>
      <t xml:space="preserve">úprava rozpočtu </t>
    </r>
    <r>
      <rPr>
        <b/>
        <i/>
        <sz val="7"/>
        <rFont val="Arial CE"/>
        <family val="2"/>
      </rPr>
      <t>vlastní MČ</t>
    </r>
  </si>
  <si>
    <r>
      <t xml:space="preserve"> + ponech z roku 2006  </t>
    </r>
    <r>
      <rPr>
        <i/>
        <sz val="7"/>
        <rFont val="Arial CE"/>
        <family val="2"/>
      </rPr>
      <t>90,1</t>
    </r>
  </si>
  <si>
    <r>
      <t xml:space="preserve">ponech z roku 2006  </t>
    </r>
    <r>
      <rPr>
        <i/>
        <sz val="8"/>
        <rFont val="Arial CE"/>
        <family val="2"/>
      </rPr>
      <t>219,6</t>
    </r>
  </si>
  <si>
    <r>
      <t xml:space="preserve">ponech z roku 2006 </t>
    </r>
    <r>
      <rPr>
        <i/>
        <sz val="8"/>
        <rFont val="Arial CE"/>
        <family val="2"/>
      </rPr>
      <t>68,2</t>
    </r>
  </si>
  <si>
    <r>
      <t xml:space="preserve">ponech z roku 2006 </t>
    </r>
    <r>
      <rPr>
        <i/>
        <sz val="8"/>
        <rFont val="Arial CE"/>
        <family val="2"/>
      </rPr>
      <t>97,6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</si>
</sst>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2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sz val="7"/>
      <color indexed="20"/>
      <name val="Arial CE"/>
      <family val="2"/>
    </font>
    <font>
      <sz val="10"/>
      <color indexed="20"/>
      <name val="Arial CE"/>
      <family val="2"/>
    </font>
    <font>
      <strike/>
      <sz val="7"/>
      <name val="Arial CE"/>
      <family val="2"/>
    </font>
    <font>
      <sz val="8"/>
      <color indexed="21"/>
      <name val="Arial CE"/>
      <family val="2"/>
    </font>
    <font>
      <b/>
      <i/>
      <sz val="8"/>
      <color indexed="21"/>
      <name val="Arial CE"/>
      <family val="2"/>
    </font>
    <font>
      <b/>
      <sz val="8"/>
      <color indexed="21"/>
      <name val="Arial CE"/>
      <family val="2"/>
    </font>
    <font>
      <i/>
      <sz val="8"/>
      <color indexed="21"/>
      <name val="Arial CE"/>
      <family val="2"/>
    </font>
    <font>
      <sz val="10"/>
      <color indexed="21"/>
      <name val="Arial CE"/>
      <family val="2"/>
    </font>
    <font>
      <strike/>
      <sz val="8"/>
      <name val="Arial CE"/>
      <family val="2"/>
    </font>
    <font>
      <sz val="14"/>
      <name val="Arial CE"/>
      <family val="2"/>
    </font>
    <font>
      <b/>
      <sz val="9"/>
      <color indexed="21"/>
      <name val="Arial CE"/>
      <family val="2"/>
    </font>
    <font>
      <b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n"/>
      <bottom style="thin"/>
    </border>
    <border>
      <left style="medium"/>
      <right style="thin"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 style="thin"/>
      <right style="medium"/>
      <top style="double"/>
      <bottom style="thin"/>
    </border>
    <border>
      <left style="thin"/>
      <right style="medium"/>
      <top style="thick"/>
      <bottom style="thick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64" fontId="1" fillId="0" borderId="9" xfId="0" applyNumberFormat="1" applyFont="1" applyFill="1" applyBorder="1" applyAlignment="1">
      <alignment wrapText="1"/>
    </xf>
    <xf numFmtId="164" fontId="6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19" xfId="0" applyNumberFormat="1" applyFont="1" applyFill="1" applyBorder="1" applyAlignment="1" applyProtection="1">
      <alignment horizontal="center" wrapText="1"/>
      <protection/>
    </xf>
    <xf numFmtId="0" fontId="1" fillId="0" borderId="2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49" fontId="15" fillId="0" borderId="2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 wrapText="1"/>
    </xf>
    <xf numFmtId="164" fontId="1" fillId="0" borderId="25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164" fontId="5" fillId="0" borderId="19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4" fontId="15" fillId="0" borderId="20" xfId="0" applyNumberFormat="1" applyFont="1" applyFill="1" applyBorder="1" applyAlignment="1" applyProtection="1">
      <alignment/>
      <protection/>
    </xf>
    <xf numFmtId="4" fontId="15" fillId="0" borderId="19" xfId="0" applyNumberFormat="1" applyFont="1" applyFill="1" applyBorder="1" applyAlignment="1" applyProtection="1">
      <alignment/>
      <protection/>
    </xf>
    <xf numFmtId="4" fontId="15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 horizontal="center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6" fillId="0" borderId="2" xfId="0" applyNumberFormat="1" applyFont="1" applyFill="1" applyBorder="1" applyAlignment="1" applyProtection="1">
      <alignment/>
      <protection/>
    </xf>
    <xf numFmtId="4" fontId="15" fillId="0" borderId="31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164" fontId="3" fillId="0" borderId="32" xfId="0" applyNumberFormat="1" applyFont="1" applyFill="1" applyBorder="1" applyAlignment="1">
      <alignment wrapText="1"/>
    </xf>
    <xf numFmtId="17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10" fillId="0" borderId="5" xfId="0" applyNumberFormat="1" applyFont="1" applyFill="1" applyBorder="1" applyAlignment="1">
      <alignment/>
    </xf>
    <xf numFmtId="4" fontId="13" fillId="0" borderId="2" xfId="0" applyNumberFormat="1" applyFont="1" applyFill="1" applyBorder="1" applyAlignment="1">
      <alignment/>
    </xf>
    <xf numFmtId="0" fontId="24" fillId="0" borderId="24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4" fontId="1" fillId="0" borderId="7" xfId="0" applyNumberFormat="1" applyFont="1" applyFill="1" applyBorder="1" applyAlignment="1" applyProtection="1">
      <alignment/>
      <protection/>
    </xf>
    <xf numFmtId="17" fontId="1" fillId="0" borderId="1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15" fillId="0" borderId="28" xfId="0" applyNumberFormat="1" applyFont="1" applyFill="1" applyBorder="1" applyAlignment="1" applyProtection="1">
      <alignment/>
      <protection/>
    </xf>
    <xf numFmtId="0" fontId="13" fillId="0" borderId="3" xfId="0" applyFont="1" applyFill="1" applyBorder="1" applyAlignment="1">
      <alignment/>
    </xf>
    <xf numFmtId="0" fontId="10" fillId="0" borderId="5" xfId="0" applyFont="1" applyFill="1" applyBorder="1" applyAlignment="1">
      <alignment horizontal="right" wrapText="1"/>
    </xf>
    <xf numFmtId="0" fontId="10" fillId="0" borderId="5" xfId="0" applyFont="1" applyFill="1" applyBorder="1" applyAlignment="1">
      <alignment wrapText="1"/>
    </xf>
    <xf numFmtId="4" fontId="20" fillId="0" borderId="35" xfId="0" applyNumberFormat="1" applyFont="1" applyFill="1" applyBorder="1" applyAlignment="1">
      <alignment horizontal="center" wrapText="1"/>
    </xf>
    <xf numFmtId="4" fontId="23" fillId="0" borderId="34" xfId="0" applyNumberFormat="1" applyFont="1" applyFill="1" applyBorder="1" applyAlignment="1">
      <alignment/>
    </xf>
    <xf numFmtId="4" fontId="22" fillId="0" borderId="34" xfId="0" applyNumberFormat="1" applyFont="1" applyFill="1" applyBorder="1" applyAlignment="1">
      <alignment/>
    </xf>
    <xf numFmtId="4" fontId="21" fillId="0" borderId="34" xfId="0" applyNumberFormat="1" applyFont="1" applyFill="1" applyBorder="1" applyAlignment="1">
      <alignment/>
    </xf>
    <xf numFmtId="4" fontId="20" fillId="0" borderId="34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 wrapText="1"/>
    </xf>
    <xf numFmtId="4" fontId="23" fillId="0" borderId="36" xfId="0" applyNumberFormat="1" applyFont="1" applyFill="1" applyBorder="1" applyAlignment="1">
      <alignment/>
    </xf>
    <xf numFmtId="4" fontId="20" fillId="0" borderId="37" xfId="0" applyNumberFormat="1" applyFont="1" applyFill="1" applyBorder="1" applyAlignment="1">
      <alignment/>
    </xf>
    <xf numFmtId="4" fontId="20" fillId="0" borderId="38" xfId="0" applyNumberFormat="1" applyFont="1" applyFill="1" applyBorder="1" applyAlignment="1">
      <alignment horizontal="center" wrapText="1"/>
    </xf>
    <xf numFmtId="4" fontId="20" fillId="0" borderId="39" xfId="0" applyNumberFormat="1" applyFont="1" applyFill="1" applyBorder="1" applyAlignment="1">
      <alignment/>
    </xf>
    <xf numFmtId="4" fontId="23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8" fillId="2" borderId="0" xfId="0" applyNumberFormat="1" applyFont="1" applyFill="1" applyAlignment="1">
      <alignment/>
    </xf>
    <xf numFmtId="4" fontId="1" fillId="0" borderId="3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4" fillId="2" borderId="0" xfId="0" applyNumberFormat="1" applyFont="1" applyFill="1" applyBorder="1" applyAlignment="1" applyProtection="1">
      <alignment/>
      <protection/>
    </xf>
    <xf numFmtId="4" fontId="4" fillId="2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4" fontId="15" fillId="2" borderId="18" xfId="0" applyNumberFormat="1" applyFont="1" applyFill="1" applyBorder="1" applyAlignment="1" applyProtection="1">
      <alignment/>
      <protection/>
    </xf>
    <xf numFmtId="4" fontId="15" fillId="2" borderId="41" xfId="0" applyNumberFormat="1" applyFont="1" applyFill="1" applyBorder="1" applyAlignment="1" applyProtection="1">
      <alignment/>
      <protection/>
    </xf>
    <xf numFmtId="4" fontId="15" fillId="2" borderId="19" xfId="0" applyNumberFormat="1" applyFont="1" applyFill="1" applyBorder="1" applyAlignment="1" applyProtection="1">
      <alignment/>
      <protection/>
    </xf>
    <xf numFmtId="164" fontId="0" fillId="0" borderId="42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0" fillId="0" borderId="43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64" fontId="0" fillId="0" borderId="44" xfId="0" applyNumberFormat="1" applyFont="1" applyFill="1" applyBorder="1" applyAlignment="1">
      <alignment/>
    </xf>
    <xf numFmtId="3" fontId="4" fillId="2" borderId="17" xfId="0" applyNumberFormat="1" applyFont="1" applyFill="1" applyBorder="1" applyAlignment="1" applyProtection="1">
      <alignment horizontal="right"/>
      <protection/>
    </xf>
    <xf numFmtId="0" fontId="4" fillId="0" borderId="45" xfId="0" applyNumberFormat="1" applyFont="1" applyFill="1" applyBorder="1" applyAlignment="1" applyProtection="1">
      <alignment/>
      <protection/>
    </xf>
    <xf numFmtId="4" fontId="20" fillId="0" borderId="46" xfId="0" applyNumberFormat="1" applyFont="1" applyFill="1" applyBorder="1" applyAlignment="1">
      <alignment/>
    </xf>
    <xf numFmtId="4" fontId="22" fillId="0" borderId="37" xfId="0" applyNumberFormat="1" applyFont="1" applyFill="1" applyBorder="1" applyAlignment="1">
      <alignment/>
    </xf>
    <xf numFmtId="4" fontId="21" fillId="0" borderId="47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2" fillId="0" borderId="47" xfId="0" applyNumberFormat="1" applyFont="1" applyFill="1" applyBorder="1" applyAlignment="1" applyProtection="1">
      <alignment/>
      <protection/>
    </xf>
    <xf numFmtId="4" fontId="20" fillId="0" borderId="48" xfId="0" applyNumberFormat="1" applyFont="1" applyFill="1" applyBorder="1" applyAlignment="1">
      <alignment/>
    </xf>
    <xf numFmtId="4" fontId="22" fillId="0" borderId="39" xfId="0" applyNumberFormat="1" applyFont="1" applyFill="1" applyBorder="1" applyAlignment="1">
      <alignment/>
    </xf>
    <xf numFmtId="4" fontId="22" fillId="0" borderId="49" xfId="0" applyNumberFormat="1" applyFont="1" applyFill="1" applyBorder="1" applyAlignment="1">
      <alignment/>
    </xf>
    <xf numFmtId="4" fontId="21" fillId="0" borderId="50" xfId="0" applyNumberFormat="1" applyFont="1" applyFill="1" applyBorder="1" applyAlignment="1">
      <alignment/>
    </xf>
    <xf numFmtId="164" fontId="27" fillId="2" borderId="0" xfId="0" applyNumberFormat="1" applyFont="1" applyFill="1" applyBorder="1" applyAlignment="1" applyProtection="1">
      <alignment/>
      <protection/>
    </xf>
    <xf numFmtId="4" fontId="20" fillId="0" borderId="51" xfId="0" applyNumberFormat="1" applyFont="1" applyFill="1" applyBorder="1" applyAlignment="1">
      <alignment/>
    </xf>
    <xf numFmtId="4" fontId="20" fillId="0" borderId="52" xfId="0" applyNumberFormat="1" applyFont="1" applyFill="1" applyBorder="1" applyAlignment="1">
      <alignment/>
    </xf>
    <xf numFmtId="4" fontId="20" fillId="0" borderId="49" xfId="0" applyNumberFormat="1" applyFont="1" applyFill="1" applyBorder="1" applyAlignment="1">
      <alignment/>
    </xf>
    <xf numFmtId="4" fontId="22" fillId="0" borderId="53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4" fontId="22" fillId="2" borderId="50" xfId="0" applyNumberFormat="1" applyFont="1" applyFill="1" applyBorder="1" applyAlignment="1" applyProtection="1">
      <alignment/>
      <protection/>
    </xf>
    <xf numFmtId="4" fontId="1" fillId="0" borderId="54" xfId="0" applyNumberFormat="1" applyFont="1" applyFill="1" applyBorder="1" applyAlignment="1">
      <alignment horizontal="center" wrapText="1"/>
    </xf>
    <xf numFmtId="4" fontId="1" fillId="0" borderId="42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10" fontId="1" fillId="0" borderId="55" xfId="0" applyNumberFormat="1" applyFont="1" applyFill="1" applyBorder="1" applyAlignment="1">
      <alignment/>
    </xf>
    <xf numFmtId="4" fontId="15" fillId="0" borderId="55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/>
    </xf>
    <xf numFmtId="4" fontId="13" fillId="0" borderId="55" xfId="0" applyNumberFormat="1" applyFont="1" applyFill="1" applyBorder="1" applyAlignment="1">
      <alignment/>
    </xf>
    <xf numFmtId="10" fontId="13" fillId="0" borderId="5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5" fillId="0" borderId="43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3" fontId="4" fillId="2" borderId="45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0" fontId="1" fillId="0" borderId="50" xfId="0" applyNumberFormat="1" applyFont="1" applyFill="1" applyBorder="1" applyAlignment="1" applyProtection="1">
      <alignment horizontal="center" wrapText="1"/>
      <protection/>
    </xf>
    <xf numFmtId="4" fontId="1" fillId="0" borderId="39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4" fontId="15" fillId="0" borderId="50" xfId="0" applyNumberFormat="1" applyFont="1" applyFill="1" applyBorder="1" applyAlignment="1" applyProtection="1">
      <alignment/>
      <protection/>
    </xf>
    <xf numFmtId="0" fontId="0" fillId="0" borderId="56" xfId="0" applyNumberFormat="1" applyFont="1" applyFill="1" applyBorder="1" applyAlignment="1" applyProtection="1">
      <alignment/>
      <protection/>
    </xf>
    <xf numFmtId="0" fontId="0" fillId="0" borderId="57" xfId="0" applyNumberFormat="1" applyFont="1" applyFill="1" applyBorder="1" applyAlignment="1" applyProtection="1">
      <alignment/>
      <protection/>
    </xf>
    <xf numFmtId="4" fontId="15" fillId="0" borderId="5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" fontId="7" fillId="0" borderId="55" xfId="0" applyNumberFormat="1" applyFont="1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14" fillId="0" borderId="60" xfId="0" applyNumberFormat="1" applyFont="1" applyFill="1" applyBorder="1" applyAlignment="1" applyProtection="1">
      <alignment horizontal="center" vertical="center"/>
      <protection/>
    </xf>
    <xf numFmtId="0" fontId="26" fillId="0" borderId="40" xfId="0" applyFont="1" applyFill="1" applyBorder="1" applyAlignment="1">
      <alignment/>
    </xf>
    <xf numFmtId="0" fontId="26" fillId="0" borderId="61" xfId="0" applyFont="1" applyFill="1" applyBorder="1" applyAlignment="1">
      <alignment/>
    </xf>
    <xf numFmtId="0" fontId="26" fillId="0" borderId="54" xfId="0" applyFont="1" applyFill="1" applyBorder="1" applyAlignment="1">
      <alignment/>
    </xf>
    <xf numFmtId="164" fontId="9" fillId="0" borderId="62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72" sqref="L72"/>
    </sheetView>
  </sheetViews>
  <sheetFormatPr defaultColWidth="9.00390625" defaultRowHeight="12.75"/>
  <cols>
    <col min="1" max="1" width="10.25390625" style="1" bestFit="1" customWidth="1"/>
    <col min="2" max="2" width="7.00390625" style="1" customWidth="1"/>
    <col min="3" max="3" width="13.875" style="1" customWidth="1"/>
    <col min="4" max="4" width="8.75390625" style="4" customWidth="1"/>
    <col min="5" max="5" width="8.75390625" style="5" customWidth="1"/>
    <col min="6" max="7" width="9.25390625" style="5" hidden="1" customWidth="1"/>
    <col min="8" max="8" width="9.25390625" style="111" customWidth="1"/>
    <col min="9" max="9" width="11.375" style="132" customWidth="1"/>
    <col min="10" max="10" width="8.75390625" style="112" customWidth="1"/>
    <col min="11" max="11" width="11.125" style="6" customWidth="1"/>
    <col min="12" max="12" width="9.25390625" style="6" customWidth="1"/>
    <col min="13" max="13" width="9.25390625" style="7" customWidth="1"/>
    <col min="14" max="15" width="9.25390625" style="7" hidden="1" customWidth="1"/>
    <col min="16" max="16" width="9.25390625" style="111" customWidth="1"/>
    <col min="17" max="17" width="11.375" style="132" customWidth="1"/>
    <col min="18" max="18" width="11.125" style="114" customWidth="1"/>
    <col min="19" max="19" width="11.875" style="114" bestFit="1" customWidth="1"/>
    <col min="20" max="20" width="10.75390625" style="114" bestFit="1" customWidth="1"/>
    <col min="21" max="21" width="9.125" style="2" customWidth="1"/>
    <col min="22" max="23" width="10.625" style="2" bestFit="1" customWidth="1"/>
    <col min="24" max="16384" width="9.125" style="2" customWidth="1"/>
  </cols>
  <sheetData>
    <row r="1" spans="1:17" ht="13.5" thickTop="1">
      <c r="A1" s="174" t="s">
        <v>80</v>
      </c>
      <c r="B1" s="175"/>
      <c r="C1" s="175"/>
      <c r="D1" s="178" t="s">
        <v>45</v>
      </c>
      <c r="E1" s="179"/>
      <c r="F1" s="179"/>
      <c r="G1" s="179"/>
      <c r="H1" s="179"/>
      <c r="I1" s="180"/>
      <c r="J1" s="107"/>
      <c r="K1" s="182"/>
      <c r="L1" s="178" t="s">
        <v>46</v>
      </c>
      <c r="M1" s="179"/>
      <c r="N1" s="179"/>
      <c r="O1" s="179"/>
      <c r="P1" s="179"/>
      <c r="Q1" s="181"/>
    </row>
    <row r="2" spans="1:20" s="3" customFormat="1" ht="33" thickBot="1">
      <c r="A2" s="176"/>
      <c r="B2" s="177"/>
      <c r="C2" s="177"/>
      <c r="D2" s="34" t="s">
        <v>63</v>
      </c>
      <c r="E2" s="35" t="s">
        <v>3</v>
      </c>
      <c r="F2" s="35"/>
      <c r="G2" s="35"/>
      <c r="H2" s="35" t="s">
        <v>8</v>
      </c>
      <c r="I2" s="96" t="s">
        <v>142</v>
      </c>
      <c r="J2" s="145"/>
      <c r="K2" s="183"/>
      <c r="L2" s="34" t="s">
        <v>63</v>
      </c>
      <c r="M2" s="35" t="s">
        <v>3</v>
      </c>
      <c r="N2" s="35"/>
      <c r="O2" s="35" t="s">
        <v>166</v>
      </c>
      <c r="P2" s="35" t="s">
        <v>8</v>
      </c>
      <c r="Q2" s="104" t="s">
        <v>142</v>
      </c>
      <c r="R2" s="159"/>
      <c r="S2" s="159"/>
      <c r="T2" s="159"/>
    </row>
    <row r="3" spans="1:17" ht="13.5" hidden="1" thickTop="1">
      <c r="A3" s="27" t="s">
        <v>4</v>
      </c>
      <c r="B3" s="28">
        <v>2310</v>
      </c>
      <c r="C3" s="29" t="s">
        <v>153</v>
      </c>
      <c r="D3" s="30"/>
      <c r="E3" s="31">
        <f>195.1*0</f>
        <v>0</v>
      </c>
      <c r="F3" s="31"/>
      <c r="G3" s="31"/>
      <c r="H3" s="32">
        <f>D3+E3</f>
        <v>0</v>
      </c>
      <c r="I3" s="129"/>
      <c r="J3" s="146"/>
      <c r="K3" s="121"/>
      <c r="L3" s="33"/>
      <c r="M3" s="31">
        <f>195.1*0</f>
        <v>0</v>
      </c>
      <c r="N3" s="31"/>
      <c r="O3" s="31"/>
      <c r="P3" s="32">
        <f>L3+M3</f>
        <v>0</v>
      </c>
      <c r="Q3" s="134">
        <f>3/3*195100*0</f>
        <v>0</v>
      </c>
    </row>
    <row r="4" spans="1:17" ht="12.75" hidden="1">
      <c r="A4" s="27" t="s">
        <v>4</v>
      </c>
      <c r="B4" s="10">
        <v>3722</v>
      </c>
      <c r="C4" s="18" t="s">
        <v>5</v>
      </c>
      <c r="D4" s="20"/>
      <c r="E4" s="11">
        <f>3300*0</f>
        <v>0</v>
      </c>
      <c r="F4" s="11"/>
      <c r="G4" s="11"/>
      <c r="H4" s="12">
        <f aca="true" t="shared" si="0" ref="H4:H11">D4+E4</f>
        <v>0</v>
      </c>
      <c r="I4" s="100">
        <f>825000*0</f>
        <v>0</v>
      </c>
      <c r="J4" s="147" t="s">
        <v>139</v>
      </c>
      <c r="K4" s="122"/>
      <c r="L4" s="25"/>
      <c r="M4" s="11">
        <f>3300*0</f>
        <v>0</v>
      </c>
      <c r="N4" s="11"/>
      <c r="O4" s="11"/>
      <c r="P4" s="12">
        <f aca="true" t="shared" si="1" ref="P4:P12">L4+M4</f>
        <v>0</v>
      </c>
      <c r="Q4" s="105">
        <f>3300000*0</f>
        <v>0</v>
      </c>
    </row>
    <row r="5" spans="1:17" ht="24.75" customHeight="1" hidden="1">
      <c r="A5" s="27" t="s">
        <v>4</v>
      </c>
      <c r="B5" s="10">
        <v>3745</v>
      </c>
      <c r="C5" s="18" t="s">
        <v>6</v>
      </c>
      <c r="D5" s="20"/>
      <c r="E5" s="11"/>
      <c r="F5" s="11"/>
      <c r="G5" s="11"/>
      <c r="H5" s="12">
        <f t="shared" si="0"/>
        <v>0</v>
      </c>
      <c r="I5" s="97">
        <f>436654-90/90*219620+6/6*20002+84/84*-237036</f>
        <v>0</v>
      </c>
      <c r="J5" s="172" t="s">
        <v>113</v>
      </c>
      <c r="K5" s="173"/>
      <c r="L5" s="25"/>
      <c r="M5" s="13"/>
      <c r="N5" s="13"/>
      <c r="O5" s="13"/>
      <c r="P5" s="12">
        <f t="shared" si="1"/>
        <v>0</v>
      </c>
      <c r="Q5" s="105"/>
    </row>
    <row r="6" spans="1:24" ht="24.75" customHeight="1" thickTop="1">
      <c r="A6" s="27" t="s">
        <v>4</v>
      </c>
      <c r="B6" s="10">
        <v>3421</v>
      </c>
      <c r="C6" s="18" t="s">
        <v>7</v>
      </c>
      <c r="D6" s="20"/>
      <c r="E6" s="11">
        <f>65*0+(157.6-102.6)</f>
        <v>55</v>
      </c>
      <c r="F6" s="11"/>
      <c r="G6" s="11"/>
      <c r="H6" s="12">
        <f t="shared" si="0"/>
        <v>55</v>
      </c>
      <c r="I6" s="97">
        <f>8846/8846*(71424-90/90*16499.4)+8887/8887*24968.7*90/90*0+3600*3/3*0-96392.7*0</f>
        <v>54924.6</v>
      </c>
      <c r="J6" s="172" t="s">
        <v>113</v>
      </c>
      <c r="K6" s="173"/>
      <c r="L6" s="25"/>
      <c r="M6" s="13"/>
      <c r="N6" s="13"/>
      <c r="O6" s="13"/>
      <c r="P6" s="12">
        <f t="shared" si="1"/>
        <v>0</v>
      </c>
      <c r="Q6" s="105"/>
      <c r="R6"/>
      <c r="S6"/>
      <c r="T6"/>
      <c r="U6"/>
      <c r="V6"/>
      <c r="W6"/>
      <c r="X6"/>
    </row>
    <row r="7" spans="1:24" ht="12.75">
      <c r="A7" s="9"/>
      <c r="B7" s="10"/>
      <c r="C7" s="109"/>
      <c r="D7" s="21">
        <f>SUM(D3:D6)</f>
        <v>0</v>
      </c>
      <c r="E7" s="14">
        <f>SUM(E3:E6)</f>
        <v>55</v>
      </c>
      <c r="F7" s="14"/>
      <c r="G7" s="14"/>
      <c r="H7" s="15">
        <f t="shared" si="0"/>
        <v>55</v>
      </c>
      <c r="I7" s="99">
        <f>SUM(I3:I6)</f>
        <v>54924.6</v>
      </c>
      <c r="J7" s="148"/>
      <c r="K7" s="122"/>
      <c r="L7" s="21">
        <f>SUM(L3:L6)</f>
        <v>0</v>
      </c>
      <c r="M7" s="14">
        <f>SUM(M3:M6)</f>
        <v>0</v>
      </c>
      <c r="N7" s="14"/>
      <c r="O7" s="14"/>
      <c r="P7" s="15">
        <f t="shared" si="1"/>
        <v>0</v>
      </c>
      <c r="Q7" s="135">
        <f>SUM(Q3:Q6)</f>
        <v>0</v>
      </c>
      <c r="R7"/>
      <c r="S7"/>
      <c r="T7"/>
      <c r="U7"/>
      <c r="V7"/>
      <c r="W7"/>
      <c r="X7"/>
    </row>
    <row r="8" spans="1:24" ht="12.75">
      <c r="A8" s="9" t="s">
        <v>62</v>
      </c>
      <c r="B8" s="10">
        <v>2212</v>
      </c>
      <c r="C8" s="18" t="s">
        <v>9</v>
      </c>
      <c r="D8" s="20">
        <v>400</v>
      </c>
      <c r="E8" s="12"/>
      <c r="F8" s="12"/>
      <c r="G8" s="12"/>
      <c r="H8" s="12">
        <f>D8+E8</f>
        <v>400</v>
      </c>
      <c r="I8" s="97">
        <f>32707.51*0+3/3*179046.34*0+4/4*236276.39*0+6/6*245984.69</f>
        <v>245984.69</v>
      </c>
      <c r="J8" s="149"/>
      <c r="K8" s="122"/>
      <c r="L8" s="25"/>
      <c r="M8" s="13"/>
      <c r="N8" s="13"/>
      <c r="O8" s="13"/>
      <c r="P8" s="12">
        <f>L8+M8</f>
        <v>0</v>
      </c>
      <c r="Q8" s="105"/>
      <c r="R8"/>
      <c r="S8"/>
      <c r="T8"/>
      <c r="U8"/>
      <c r="V8"/>
      <c r="W8"/>
      <c r="X8"/>
    </row>
    <row r="9" spans="1:24" ht="12.75" hidden="1">
      <c r="A9" s="9"/>
      <c r="B9" s="10">
        <v>2212</v>
      </c>
      <c r="C9" s="18" t="s">
        <v>10</v>
      </c>
      <c r="D9" s="20"/>
      <c r="E9" s="12"/>
      <c r="F9" s="12"/>
      <c r="G9" s="12"/>
      <c r="H9" s="12">
        <f t="shared" si="0"/>
        <v>0</v>
      </c>
      <c r="I9" s="100"/>
      <c r="J9" s="148"/>
      <c r="K9" s="122"/>
      <c r="L9" s="25"/>
      <c r="M9" s="13"/>
      <c r="N9" s="13"/>
      <c r="O9" s="13"/>
      <c r="P9" s="12">
        <f t="shared" si="1"/>
        <v>0</v>
      </c>
      <c r="Q9" s="105"/>
      <c r="R9"/>
      <c r="S9"/>
      <c r="T9"/>
      <c r="U9"/>
      <c r="V9"/>
      <c r="W9"/>
      <c r="X9"/>
    </row>
    <row r="10" spans="1:24" ht="12.75" hidden="1">
      <c r="A10" s="9"/>
      <c r="B10" s="10">
        <v>2212</v>
      </c>
      <c r="C10" s="18" t="s">
        <v>11</v>
      </c>
      <c r="D10" s="20"/>
      <c r="E10" s="12"/>
      <c r="F10" s="12"/>
      <c r="G10" s="12"/>
      <c r="H10" s="12">
        <f t="shared" si="0"/>
        <v>0</v>
      </c>
      <c r="I10" s="100"/>
      <c r="J10" s="148"/>
      <c r="K10" s="122"/>
      <c r="L10" s="25"/>
      <c r="M10" s="13"/>
      <c r="N10" s="13"/>
      <c r="O10" s="13"/>
      <c r="P10" s="12">
        <f t="shared" si="1"/>
        <v>0</v>
      </c>
      <c r="Q10" s="105"/>
      <c r="R10"/>
      <c r="S10"/>
      <c r="T10"/>
      <c r="U10"/>
      <c r="V10"/>
      <c r="W10"/>
      <c r="X10"/>
    </row>
    <row r="11" spans="1:24" ht="12.75">
      <c r="A11" s="9"/>
      <c r="B11" s="10">
        <v>2219</v>
      </c>
      <c r="C11" s="18" t="s">
        <v>12</v>
      </c>
      <c r="D11" s="20"/>
      <c r="E11" s="11"/>
      <c r="F11" s="11"/>
      <c r="G11" s="11"/>
      <c r="H11" s="12">
        <f t="shared" si="0"/>
        <v>0</v>
      </c>
      <c r="I11" s="97">
        <f>4430*0+5/5*13154.5</f>
        <v>13154.5</v>
      </c>
      <c r="J11" s="148"/>
      <c r="K11" s="122"/>
      <c r="L11" s="25"/>
      <c r="M11" s="13"/>
      <c r="N11" s="13"/>
      <c r="O11" s="13"/>
      <c r="P11" s="12">
        <f t="shared" si="1"/>
        <v>0</v>
      </c>
      <c r="Q11" s="105"/>
      <c r="R11"/>
      <c r="S11"/>
      <c r="T11"/>
      <c r="U11"/>
      <c r="V11"/>
      <c r="W11"/>
      <c r="X11"/>
    </row>
    <row r="12" spans="1:24" ht="12.75">
      <c r="A12" s="9"/>
      <c r="B12" s="10"/>
      <c r="C12" s="109"/>
      <c r="D12" s="21">
        <f>SUM(D8:D11)</f>
        <v>400</v>
      </c>
      <c r="E12" s="14">
        <f>SUM(E8:E11)</f>
        <v>0</v>
      </c>
      <c r="F12" s="14"/>
      <c r="G12" s="14"/>
      <c r="H12" s="15">
        <f>D12+E12</f>
        <v>400</v>
      </c>
      <c r="I12" s="99">
        <f>SUM(I8:I11)</f>
        <v>259139.19</v>
      </c>
      <c r="J12" s="150"/>
      <c r="K12" s="122"/>
      <c r="L12" s="21">
        <f>SUM(L8:L11)</f>
        <v>0</v>
      </c>
      <c r="M12" s="14">
        <f>SUM(M8:M11)</f>
        <v>0</v>
      </c>
      <c r="N12" s="14"/>
      <c r="O12" s="14"/>
      <c r="P12" s="15">
        <f t="shared" si="1"/>
        <v>0</v>
      </c>
      <c r="Q12" s="135">
        <f>SUM(Q8:Q11)</f>
        <v>0</v>
      </c>
      <c r="R12"/>
      <c r="S12"/>
      <c r="T12"/>
      <c r="U12"/>
      <c r="V12"/>
      <c r="W12"/>
      <c r="X12"/>
    </row>
    <row r="13" spans="1:24" ht="12.75">
      <c r="A13" s="9" t="s">
        <v>2</v>
      </c>
      <c r="B13" s="10">
        <v>3111</v>
      </c>
      <c r="C13" s="18" t="s">
        <v>13</v>
      </c>
      <c r="D13" s="20">
        <v>1380</v>
      </c>
      <c r="E13" s="11">
        <f>6/6*110</f>
        <v>110</v>
      </c>
      <c r="F13" s="11"/>
      <c r="G13" s="11"/>
      <c r="H13" s="12">
        <f>D13+E13</f>
        <v>1490</v>
      </c>
      <c r="I13" s="97">
        <f>4/4*230000</f>
        <v>230000</v>
      </c>
      <c r="J13" s="148"/>
      <c r="K13" s="122"/>
      <c r="L13" s="25"/>
      <c r="M13" s="13"/>
      <c r="N13" s="13"/>
      <c r="O13" s="13"/>
      <c r="P13" s="12">
        <f>L13+M13</f>
        <v>0</v>
      </c>
      <c r="Q13" s="105"/>
      <c r="R13"/>
      <c r="S13"/>
      <c r="T13"/>
      <c r="U13"/>
      <c r="V13"/>
      <c r="W13"/>
      <c r="X13"/>
    </row>
    <row r="14" spans="1:24" ht="12.75">
      <c r="A14" s="9"/>
      <c r="B14" s="10"/>
      <c r="C14" s="93" t="s">
        <v>154</v>
      </c>
      <c r="D14" s="20"/>
      <c r="E14" s="11"/>
      <c r="F14" s="11"/>
      <c r="G14" s="11"/>
      <c r="H14" s="12"/>
      <c r="I14" s="97">
        <f>3/3*29274</f>
        <v>29274</v>
      </c>
      <c r="J14" s="148"/>
      <c r="K14" s="122"/>
      <c r="L14" s="25"/>
      <c r="M14" s="13"/>
      <c r="N14" s="13"/>
      <c r="O14" s="13"/>
      <c r="P14" s="12"/>
      <c r="Q14" s="105"/>
      <c r="R14"/>
      <c r="S14"/>
      <c r="T14"/>
      <c r="U14"/>
      <c r="V14"/>
      <c r="W14"/>
      <c r="X14"/>
    </row>
    <row r="15" spans="1:24" ht="12.75">
      <c r="A15" s="9"/>
      <c r="B15" s="10">
        <v>3113</v>
      </c>
      <c r="C15" s="18" t="s">
        <v>14</v>
      </c>
      <c r="D15" s="20">
        <v>2830</v>
      </c>
      <c r="E15" s="11">
        <f>70*0</f>
        <v>0</v>
      </c>
      <c r="F15" s="11"/>
      <c r="G15" s="11"/>
      <c r="H15" s="12">
        <f aca="true" t="shared" si="2" ref="H15:H21">D15+E15</f>
        <v>2830</v>
      </c>
      <c r="I15" s="97">
        <f>4/4*472000*0+6/6*738000</f>
        <v>738000</v>
      </c>
      <c r="J15" s="148" t="s">
        <v>139</v>
      </c>
      <c r="K15" s="122"/>
      <c r="L15" s="25"/>
      <c r="M15" s="11">
        <f>70*0</f>
        <v>0</v>
      </c>
      <c r="N15" s="11"/>
      <c r="O15" s="11"/>
      <c r="P15" s="12">
        <f aca="true" t="shared" si="3" ref="P15:P21">L15+M15</f>
        <v>0</v>
      </c>
      <c r="Q15" s="105">
        <f>3/3*70000*0</f>
        <v>0</v>
      </c>
      <c r="R15"/>
      <c r="S15"/>
      <c r="T15"/>
      <c r="U15"/>
      <c r="V15"/>
      <c r="W15"/>
      <c r="X15"/>
    </row>
    <row r="16" spans="1:24" ht="12.75">
      <c r="A16" s="9"/>
      <c r="B16" s="10"/>
      <c r="C16" s="93" t="s">
        <v>154</v>
      </c>
      <c r="D16" s="20"/>
      <c r="E16" s="11"/>
      <c r="F16" s="11"/>
      <c r="G16" s="11"/>
      <c r="H16" s="12"/>
      <c r="I16" s="97">
        <f>(55594.5+165788.66+193275+2127.72+65405-482190.88*0)*0+3/3*637356.45*0+4/4*935081.74*0+5/5*(1179283.06-5331/5331*472000-81/81*70000)*0+6/6*(1403126.52-5331/5331*738000-81/81*70000)</f>
        <v>595126.52</v>
      </c>
      <c r="J16" s="151"/>
      <c r="K16" s="122"/>
      <c r="L16" s="25"/>
      <c r="M16" s="13"/>
      <c r="N16" s="13"/>
      <c r="O16" s="13"/>
      <c r="P16" s="12"/>
      <c r="Q16" s="105"/>
      <c r="R16"/>
      <c r="S16"/>
      <c r="T16"/>
      <c r="U16"/>
      <c r="V16"/>
      <c r="W16"/>
      <c r="X16"/>
    </row>
    <row r="17" spans="1:24" ht="12.75">
      <c r="A17" s="9"/>
      <c r="B17" s="10">
        <v>3141</v>
      </c>
      <c r="C17" s="18" t="s">
        <v>15</v>
      </c>
      <c r="D17" s="20">
        <v>964</v>
      </c>
      <c r="E17" s="11">
        <f>6/6*-380</f>
        <v>-380</v>
      </c>
      <c r="F17" s="11"/>
      <c r="G17" s="11"/>
      <c r="H17" s="12">
        <f t="shared" si="2"/>
        <v>584</v>
      </c>
      <c r="I17" s="97">
        <f>4/4*161000</f>
        <v>161000</v>
      </c>
      <c r="J17" s="148"/>
      <c r="K17" s="122"/>
      <c r="L17" s="25"/>
      <c r="M17" s="13"/>
      <c r="N17" s="13"/>
      <c r="O17" s="13"/>
      <c r="P17" s="12">
        <f t="shared" si="3"/>
        <v>0</v>
      </c>
      <c r="Q17" s="105"/>
      <c r="R17"/>
      <c r="S17"/>
      <c r="T17"/>
      <c r="U17"/>
      <c r="V17"/>
      <c r="W17"/>
      <c r="X17"/>
    </row>
    <row r="18" spans="1:24" ht="12.75">
      <c r="A18" s="9"/>
      <c r="B18" s="10"/>
      <c r="C18" s="93" t="s">
        <v>154</v>
      </c>
      <c r="D18" s="20"/>
      <c r="E18" s="11"/>
      <c r="F18" s="11"/>
      <c r="G18" s="11"/>
      <c r="H18" s="12"/>
      <c r="I18" s="97">
        <f>(35895.77+2375.91+5589.16-43860.84*0)*0+3/3*70290.97*0+4/4*218754.46*0+5/5*177963.5*0+6/6*171686.17-5331/5331*161000</f>
        <v>10686.170000000013</v>
      </c>
      <c r="J18" s="151"/>
      <c r="K18" s="122"/>
      <c r="L18" s="25"/>
      <c r="M18" s="13"/>
      <c r="N18" s="13"/>
      <c r="O18" s="13"/>
      <c r="P18" s="12"/>
      <c r="Q18" s="105"/>
      <c r="R18"/>
      <c r="S18"/>
      <c r="T18"/>
      <c r="U18"/>
      <c r="V18"/>
      <c r="W18"/>
      <c r="X18"/>
    </row>
    <row r="19" spans="1:24" ht="12.75">
      <c r="A19" s="9"/>
      <c r="B19" s="10">
        <v>3121</v>
      </c>
      <c r="C19" s="18" t="s">
        <v>156</v>
      </c>
      <c r="D19" s="20"/>
      <c r="E19" s="11"/>
      <c r="F19" s="11"/>
      <c r="G19" s="11"/>
      <c r="H19" s="12"/>
      <c r="I19" s="97">
        <f>(59919.34+7336.95-67256.29*0)*0+3/3*105172.4*0+4/4*78620.18*0+5/5*46538.2*0+6/6*28313.22</f>
        <v>28313.22</v>
      </c>
      <c r="J19" s="151"/>
      <c r="K19" s="122"/>
      <c r="L19" s="25"/>
      <c r="M19" s="13"/>
      <c r="N19" s="13"/>
      <c r="O19" s="13"/>
      <c r="P19" s="12"/>
      <c r="Q19" s="105"/>
      <c r="R19"/>
      <c r="S19"/>
      <c r="T19"/>
      <c r="U19"/>
      <c r="V19"/>
      <c r="W19"/>
      <c r="X19"/>
    </row>
    <row r="20" spans="1:24" ht="12.75">
      <c r="A20" s="9"/>
      <c r="B20" s="10">
        <v>3231</v>
      </c>
      <c r="C20" s="18" t="s">
        <v>155</v>
      </c>
      <c r="D20" s="20"/>
      <c r="E20" s="11"/>
      <c r="F20" s="11"/>
      <c r="G20" s="11"/>
      <c r="H20" s="12">
        <f t="shared" si="2"/>
        <v>0</v>
      </c>
      <c r="I20" s="97">
        <f>1221.64*0+3/3*596.17*0+4/4*0+6/6*596.16</f>
        <v>596.16</v>
      </c>
      <c r="J20" s="151"/>
      <c r="K20" s="122"/>
      <c r="L20" s="25"/>
      <c r="M20" s="13"/>
      <c r="N20" s="13"/>
      <c r="O20" s="13"/>
      <c r="P20" s="12">
        <f t="shared" si="3"/>
        <v>0</v>
      </c>
      <c r="Q20" s="105"/>
      <c r="R20"/>
      <c r="S20"/>
      <c r="T20"/>
      <c r="U20"/>
      <c r="V20"/>
      <c r="W20"/>
      <c r="X20"/>
    </row>
    <row r="21" spans="1:24" ht="12.75">
      <c r="A21" s="9"/>
      <c r="B21" s="10"/>
      <c r="C21" s="109"/>
      <c r="D21" s="21">
        <f>SUM(D13:D20)</f>
        <v>5174</v>
      </c>
      <c r="E21" s="14">
        <f>SUM(E13:E20)</f>
        <v>-270</v>
      </c>
      <c r="F21" s="14"/>
      <c r="G21" s="14"/>
      <c r="H21" s="15">
        <f t="shared" si="2"/>
        <v>4904</v>
      </c>
      <c r="I21" s="99">
        <f>SUM(I13:I20)</f>
        <v>1792996.0699999998</v>
      </c>
      <c r="J21" s="150"/>
      <c r="K21" s="122"/>
      <c r="L21" s="21">
        <f>SUM(L13:L20)</f>
        <v>0</v>
      </c>
      <c r="M21" s="14">
        <f>SUM(M13:M20)</f>
        <v>0</v>
      </c>
      <c r="N21" s="14"/>
      <c r="O21" s="14"/>
      <c r="P21" s="15">
        <f t="shared" si="3"/>
        <v>0</v>
      </c>
      <c r="Q21" s="135">
        <f>SUM(Q13:Q20)</f>
        <v>0</v>
      </c>
      <c r="R21"/>
      <c r="S21"/>
      <c r="T21"/>
      <c r="U21"/>
      <c r="V21"/>
      <c r="W21"/>
      <c r="X21"/>
    </row>
    <row r="22" spans="1:24" ht="12.75" hidden="1">
      <c r="A22" s="9" t="s">
        <v>0</v>
      </c>
      <c r="B22" s="8">
        <v>3513</v>
      </c>
      <c r="C22" s="18" t="s">
        <v>16</v>
      </c>
      <c r="D22" s="20"/>
      <c r="E22" s="11"/>
      <c r="F22" s="11"/>
      <c r="G22" s="11"/>
      <c r="H22" s="12">
        <f>D22+E22</f>
        <v>0</v>
      </c>
      <c r="I22" s="100">
        <f>9/9*238*0</f>
        <v>0</v>
      </c>
      <c r="J22" s="148"/>
      <c r="K22" s="122"/>
      <c r="L22" s="25"/>
      <c r="M22" s="13"/>
      <c r="N22" s="13"/>
      <c r="O22" s="13"/>
      <c r="P22" s="12">
        <f>L22+M22</f>
        <v>0</v>
      </c>
      <c r="Q22" s="105"/>
      <c r="R22"/>
      <c r="S22"/>
      <c r="T22"/>
      <c r="U22"/>
      <c r="V22"/>
      <c r="W22"/>
      <c r="X22"/>
    </row>
    <row r="23" spans="1:24" ht="12.75">
      <c r="A23" s="9" t="s">
        <v>0</v>
      </c>
      <c r="B23" s="8">
        <v>3541</v>
      </c>
      <c r="C23" s="18" t="s">
        <v>17</v>
      </c>
      <c r="D23" s="20"/>
      <c r="E23" s="11">
        <f>70*0</f>
        <v>0</v>
      </c>
      <c r="F23" s="11"/>
      <c r="G23" s="11"/>
      <c r="H23" s="12">
        <f aca="true" t="shared" si="4" ref="H23:H36">D23+E23</f>
        <v>0</v>
      </c>
      <c r="I23" s="97">
        <f>2000*0+3/3*2550*0+5/5*8650*0</f>
        <v>0</v>
      </c>
      <c r="J23" s="149"/>
      <c r="K23" s="23"/>
      <c r="L23" s="25"/>
      <c r="M23" s="11">
        <f>70*0</f>
        <v>0</v>
      </c>
      <c r="N23" s="11"/>
      <c r="O23" s="11"/>
      <c r="P23" s="12">
        <f aca="true" t="shared" si="5" ref="P23:P36">L23+M23</f>
        <v>0</v>
      </c>
      <c r="Q23" s="105">
        <f>3/3*70000*0</f>
        <v>0</v>
      </c>
      <c r="R23"/>
      <c r="S23"/>
      <c r="T23"/>
      <c r="U23"/>
      <c r="V23"/>
      <c r="W23"/>
      <c r="X23"/>
    </row>
    <row r="24" spans="1:24" ht="12.75">
      <c r="A24" s="9"/>
      <c r="B24" s="16" t="s">
        <v>18</v>
      </c>
      <c r="C24" s="18" t="s">
        <v>19</v>
      </c>
      <c r="D24" s="20"/>
      <c r="E24" s="11">
        <f>11983.5*0</f>
        <v>0</v>
      </c>
      <c r="F24" s="11"/>
      <c r="G24" s="11"/>
      <c r="H24" s="12">
        <f t="shared" si="4"/>
        <v>0</v>
      </c>
      <c r="I24" s="100">
        <f>71/71*(2/2)*(20931*0+33464*0+3/3*80850)+73/73*(10000*0+2/2*(46220*0+47860)*0+3/3*67006)+79/79*(52057*0+2/2*(87937*0+93927)*0+3/3*129773)+81/81*(2/2*-1500*0+3/3*0)+82/82*(7160*0+2/2*150120*0+3/3*158971)+3/3*(600*0+2/2*1200*0+3/3*1800)+4/4*(50000*0+2/2*145000*0+3/3*145000)+5/5*(660398*0+2/2*1130529*0+3/3*1645867)+6/6*(6500*0+2/2*32500*0+3/3*71500)-1/1*786715*0-2/2*1633100*0-3/3*2300767</f>
        <v>0</v>
      </c>
      <c r="J24" s="149"/>
      <c r="K24" s="23" t="s">
        <v>158</v>
      </c>
      <c r="L24" s="25"/>
      <c r="M24" s="11">
        <f>11983.5*0</f>
        <v>0</v>
      </c>
      <c r="N24" s="11"/>
      <c r="O24" s="11"/>
      <c r="P24" s="12">
        <f t="shared" si="5"/>
        <v>0</v>
      </c>
      <c r="Q24" s="106">
        <f>3640000*0+4/4*(9507+5000+5725+3400)*0+5/5*(1000-5725+5725)*0+6/6*(3000+1000-5725+6219)</f>
        <v>4494</v>
      </c>
      <c r="R24"/>
      <c r="S24"/>
      <c r="T24"/>
      <c r="U24"/>
      <c r="V24"/>
      <c r="W24"/>
      <c r="X24"/>
    </row>
    <row r="25" spans="1:24" ht="12.75" hidden="1">
      <c r="A25" s="9"/>
      <c r="B25" s="16" t="s">
        <v>18</v>
      </c>
      <c r="C25" s="18" t="s">
        <v>1</v>
      </c>
      <c r="D25" s="20"/>
      <c r="E25" s="11">
        <f>7075*0</f>
        <v>0</v>
      </c>
      <c r="F25" s="11"/>
      <c r="G25" s="11"/>
      <c r="H25" s="12">
        <f t="shared" si="4"/>
        <v>0</v>
      </c>
      <c r="I25" s="100">
        <f>2/2*1950000*0+3/3*3125000*0</f>
        <v>0</v>
      </c>
      <c r="J25" s="148" t="s">
        <v>139</v>
      </c>
      <c r="K25" s="23"/>
      <c r="L25" s="25"/>
      <c r="M25" s="11">
        <f>7075*0</f>
        <v>0</v>
      </c>
      <c r="N25" s="11"/>
      <c r="O25" s="11"/>
      <c r="P25" s="12">
        <f t="shared" si="5"/>
        <v>0</v>
      </c>
      <c r="Q25" s="105">
        <f>2011320+3/3*1093000-3104320</f>
        <v>0</v>
      </c>
      <c r="R25"/>
      <c r="S25"/>
      <c r="T25"/>
      <c r="U25"/>
      <c r="V25"/>
      <c r="W25"/>
      <c r="X25"/>
    </row>
    <row r="26" spans="1:24" ht="12.75" hidden="1">
      <c r="A26" s="9"/>
      <c r="B26" s="8">
        <v>4312</v>
      </c>
      <c r="C26" s="18" t="s">
        <v>20</v>
      </c>
      <c r="D26" s="20"/>
      <c r="E26" s="11"/>
      <c r="F26" s="11"/>
      <c r="G26" s="11"/>
      <c r="H26" s="12">
        <f t="shared" si="4"/>
        <v>0</v>
      </c>
      <c r="I26" s="100"/>
      <c r="J26" s="148"/>
      <c r="K26" s="23"/>
      <c r="L26" s="25"/>
      <c r="M26" s="13"/>
      <c r="N26" s="13"/>
      <c r="O26" s="13"/>
      <c r="P26" s="12">
        <f t="shared" si="5"/>
        <v>0</v>
      </c>
      <c r="Q26" s="105"/>
      <c r="R26"/>
      <c r="S26"/>
      <c r="T26"/>
      <c r="U26"/>
      <c r="V26"/>
      <c r="W26"/>
      <c r="X26"/>
    </row>
    <row r="27" spans="1:24" ht="12.75">
      <c r="A27" s="9"/>
      <c r="B27" s="8" t="s">
        <v>21</v>
      </c>
      <c r="C27" s="18" t="s">
        <v>22</v>
      </c>
      <c r="D27" s="20">
        <v>235</v>
      </c>
      <c r="E27" s="11">
        <v>-135</v>
      </c>
      <c r="F27" s="11"/>
      <c r="G27" s="11"/>
      <c r="H27" s="12">
        <f t="shared" si="4"/>
        <v>100</v>
      </c>
      <c r="I27" s="98">
        <f>4883*0+5/5*9836.5*0+6/6*169375.5</f>
        <v>169375.5</v>
      </c>
      <c r="J27" s="149"/>
      <c r="K27" s="23"/>
      <c r="L27" s="25"/>
      <c r="M27" s="13"/>
      <c r="N27" s="13"/>
      <c r="O27" s="13"/>
      <c r="P27" s="12">
        <f t="shared" si="5"/>
        <v>0</v>
      </c>
      <c r="Q27" s="105"/>
      <c r="R27"/>
      <c r="S27"/>
      <c r="T27"/>
      <c r="U27"/>
      <c r="V27"/>
      <c r="W27"/>
      <c r="X27"/>
    </row>
    <row r="28" spans="1:24" ht="12.75">
      <c r="A28" s="9"/>
      <c r="B28" s="16" t="s">
        <v>23</v>
      </c>
      <c r="C28" s="18" t="s">
        <v>24</v>
      </c>
      <c r="D28" s="20">
        <v>2030</v>
      </c>
      <c r="E28" s="11">
        <f>4375/4375*-(215-155)+60*0</f>
        <v>-60</v>
      </c>
      <c r="F28" s="11"/>
      <c r="G28" s="11"/>
      <c r="H28" s="12">
        <f t="shared" si="4"/>
        <v>1970</v>
      </c>
      <c r="I28" s="98">
        <f>(268812.31*0+273713.81*0+3/3*(410784.01+5801/5801*-1935)*0+4/4*(576266.36+5801/5801*-11608)*0+5/5*773478.6*0+6/6*918345.09+58013/58013*-28248)-5518*(3/3)*0</f>
        <v>890097.09</v>
      </c>
      <c r="J28" s="149"/>
      <c r="K28" s="23"/>
      <c r="L28" s="25">
        <v>1134</v>
      </c>
      <c r="M28" s="13"/>
      <c r="N28" s="13"/>
      <c r="O28" s="13"/>
      <c r="P28" s="12">
        <f t="shared" si="5"/>
        <v>1134</v>
      </c>
      <c r="Q28" s="105">
        <f>202540*0+3/3*376380*0+4/4*472770*0+5/5*519610*0+6/6*645090</f>
        <v>645090</v>
      </c>
      <c r="R28"/>
      <c r="S28"/>
      <c r="T28"/>
      <c r="U28"/>
      <c r="V28"/>
      <c r="W28"/>
      <c r="X28"/>
    </row>
    <row r="29" spans="1:24" ht="12.75">
      <c r="A29" s="9"/>
      <c r="B29" s="8">
        <v>4314</v>
      </c>
      <c r="C29" s="18" t="s">
        <v>25</v>
      </c>
      <c r="D29" s="20">
        <v>1320</v>
      </c>
      <c r="E29" s="11"/>
      <c r="F29" s="11"/>
      <c r="G29" s="11"/>
      <c r="H29" s="12">
        <f t="shared" si="4"/>
        <v>1320</v>
      </c>
      <c r="I29" s="98">
        <f>(173292.88*0+174282.88*0+3/3*(334821.18+5801/5801*-5696)*0+4/4*(513181.1+5801/5801*-6936)*0+5/5*660734.6*0+6/6*826732.01)+1/1*((1912.69*0+3/3*2817.99*0+4/4*3786.23*0+5/5*(4627.94*0+5801/5801*-11058*0))+28607*0+4/4*30937)*0+6/6*(107079.94+5801/5801*-11439)+(7/7)*127*0+43512/43512*(4/4*11340*0+5/5*15120*0+6/6*18900)+4/4*(9/9)*11209*0</f>
        <v>941272.95</v>
      </c>
      <c r="J29" s="149"/>
      <c r="K29" s="23"/>
      <c r="L29" s="25">
        <v>289</v>
      </c>
      <c r="M29" s="13"/>
      <c r="N29" s="13"/>
      <c r="O29" s="13"/>
      <c r="P29" s="12">
        <f t="shared" si="5"/>
        <v>289</v>
      </c>
      <c r="Q29" s="105">
        <f>60987*0+3/3*91427*0+4/4*33900.5*0+5/5*163664.5*0+6/6*197801.5</f>
        <v>197801.5</v>
      </c>
      <c r="R29"/>
      <c r="S29"/>
      <c r="T29"/>
      <c r="U29"/>
      <c r="V29"/>
      <c r="W29"/>
      <c r="X29"/>
    </row>
    <row r="30" spans="1:24" ht="12.75">
      <c r="A30" s="9"/>
      <c r="B30" s="8">
        <v>4319</v>
      </c>
      <c r="C30" s="18" t="s">
        <v>26</v>
      </c>
      <c r="D30" s="20"/>
      <c r="E30" s="11"/>
      <c r="F30" s="11"/>
      <c r="G30" s="11"/>
      <c r="H30" s="12">
        <f t="shared" si="4"/>
        <v>0</v>
      </c>
      <c r="I30" s="98">
        <f>37594*0+3/3*42340*0+4/4*45868*0+5/5*49324*0+6/6*52642</f>
        <v>52642</v>
      </c>
      <c r="J30" s="149"/>
      <c r="K30" s="83" t="s">
        <v>95</v>
      </c>
      <c r="L30" s="25"/>
      <c r="M30" s="13"/>
      <c r="N30" s="13"/>
      <c r="O30" s="13"/>
      <c r="P30" s="12">
        <f t="shared" si="5"/>
        <v>0</v>
      </c>
      <c r="Q30" s="105"/>
      <c r="R30"/>
      <c r="S30"/>
      <c r="T30"/>
      <c r="U30"/>
      <c r="V30"/>
      <c r="W30"/>
      <c r="X30"/>
    </row>
    <row r="31" spans="1:24" ht="12.75">
      <c r="A31" s="9" t="s">
        <v>147</v>
      </c>
      <c r="B31" s="82" t="s">
        <v>138</v>
      </c>
      <c r="C31" s="18" t="s">
        <v>27</v>
      </c>
      <c r="D31" s="20">
        <v>215</v>
      </c>
      <c r="E31" s="11">
        <f>265*0-215</f>
        <v>-215</v>
      </c>
      <c r="F31" s="11"/>
      <c r="G31" s="11"/>
      <c r="H31" s="12">
        <f t="shared" si="4"/>
        <v>0</v>
      </c>
      <c r="I31" s="98">
        <f>0+3/3*56*0+4/4*817.5*0+5/5*1115.5*0+4329/4329*760.5</f>
        <v>760.5</v>
      </c>
      <c r="J31" s="149"/>
      <c r="K31" s="122"/>
      <c r="L31" s="25"/>
      <c r="M31" s="13"/>
      <c r="N31" s="13"/>
      <c r="O31" s="13"/>
      <c r="P31" s="12">
        <f t="shared" si="5"/>
        <v>0</v>
      </c>
      <c r="Q31" s="105"/>
      <c r="R31"/>
      <c r="S31"/>
      <c r="T31"/>
      <c r="U31"/>
      <c r="V31"/>
      <c r="W31"/>
      <c r="X31"/>
    </row>
    <row r="32" spans="1:24" ht="12.75">
      <c r="A32" s="9"/>
      <c r="B32" s="8"/>
      <c r="C32" s="18" t="s">
        <v>55</v>
      </c>
      <c r="D32" s="20"/>
      <c r="E32" s="11">
        <f>265-215*0</f>
        <v>265</v>
      </c>
      <c r="F32" s="11"/>
      <c r="G32" s="11"/>
      <c r="H32" s="12">
        <f t="shared" si="4"/>
        <v>265</v>
      </c>
      <c r="I32" s="98">
        <f>4375/4375*((22206+3/3*14488-36694*0)*0+4/4*52994*0+5/5*68024*0+6/6*(84137.5-81/81*1055.5+5801/5801*-842))+4379/4379*((10650+3/3*1144-11794*0)*0+4/4*34984*0)-(2/2)*32856*0</f>
        <v>82240</v>
      </c>
      <c r="J32" s="148"/>
      <c r="K32" s="122"/>
      <c r="L32" s="25"/>
      <c r="M32" s="13"/>
      <c r="N32" s="13"/>
      <c r="O32" s="13"/>
      <c r="P32" s="12">
        <f t="shared" si="5"/>
        <v>0</v>
      </c>
      <c r="Q32" s="105"/>
      <c r="R32"/>
      <c r="S32"/>
      <c r="T32"/>
      <c r="U32"/>
      <c r="V32"/>
      <c r="W32"/>
      <c r="X32"/>
    </row>
    <row r="33" spans="1:24" ht="12.75">
      <c r="A33" s="9"/>
      <c r="B33" s="8"/>
      <c r="C33" s="18" t="s">
        <v>159</v>
      </c>
      <c r="D33" s="20"/>
      <c r="E33" s="11"/>
      <c r="F33" s="11"/>
      <c r="G33" s="11"/>
      <c r="H33" s="12">
        <f t="shared" si="4"/>
        <v>0</v>
      </c>
      <c r="I33" s="99">
        <f>23833.5*0+25261.5*0+3/3*56011.6</f>
        <v>56011.6</v>
      </c>
      <c r="J33" s="152" t="s">
        <v>110</v>
      </c>
      <c r="K33" s="23"/>
      <c r="L33" s="25"/>
      <c r="M33" s="13"/>
      <c r="N33" s="13"/>
      <c r="O33" s="13"/>
      <c r="P33" s="12">
        <f t="shared" si="5"/>
        <v>0</v>
      </c>
      <c r="Q33" s="105"/>
      <c r="R33"/>
      <c r="S33"/>
      <c r="T33"/>
      <c r="U33"/>
      <c r="V33"/>
      <c r="W33"/>
      <c r="X33"/>
    </row>
    <row r="34" spans="1:24" ht="12.75">
      <c r="A34" s="9" t="s">
        <v>95</v>
      </c>
      <c r="B34" s="8">
        <v>4379</v>
      </c>
      <c r="C34" s="18"/>
      <c r="D34" s="20"/>
      <c r="E34" s="11">
        <f>5/5*44</f>
        <v>44</v>
      </c>
      <c r="F34" s="11"/>
      <c r="G34" s="11"/>
      <c r="H34" s="12">
        <f t="shared" si="4"/>
        <v>44</v>
      </c>
      <c r="I34" s="98">
        <f>5/5*51414*0+6/6*69894</f>
        <v>69894</v>
      </c>
      <c r="J34" s="148"/>
      <c r="K34" s="23"/>
      <c r="L34" s="25"/>
      <c r="M34" s="13"/>
      <c r="N34" s="13"/>
      <c r="O34" s="13"/>
      <c r="P34" s="12"/>
      <c r="Q34" s="105"/>
      <c r="R34"/>
      <c r="S34"/>
      <c r="T34"/>
      <c r="U34"/>
      <c r="V34"/>
      <c r="W34"/>
      <c r="X34"/>
    </row>
    <row r="35" spans="1:24" ht="12.75">
      <c r="A35" s="84"/>
      <c r="B35" s="82" t="s">
        <v>143</v>
      </c>
      <c r="C35" s="18" t="s">
        <v>28</v>
      </c>
      <c r="D35" s="20">
        <v>930</v>
      </c>
      <c r="E35" s="11">
        <f>4375/4375*-155</f>
        <v>-155</v>
      </c>
      <c r="F35" s="11"/>
      <c r="G35" s="11"/>
      <c r="H35" s="12">
        <f t="shared" si="4"/>
        <v>775</v>
      </c>
      <c r="I35" s="97">
        <f>121103.05*0+3/3*224087.39*0+4/4*334324.88*0+5/5*426412.08*0+6/6*514115.7+5801/5801*(-3589*0+6/6*-12135)+1/1*(730*0+4/4*1495)</f>
        <v>503475.7</v>
      </c>
      <c r="J35" s="149"/>
      <c r="K35" s="122"/>
      <c r="L35" s="25">
        <v>201</v>
      </c>
      <c r="M35" s="13"/>
      <c r="N35" s="13"/>
      <c r="O35" s="13"/>
      <c r="P35" s="12">
        <f t="shared" si="5"/>
        <v>201</v>
      </c>
      <c r="Q35" s="105">
        <f>3831*0+3/3*7486*0+4/4*13179*0+8600*0+3/3*21600*0+4/4*32400*0+5/5*(17903+43200)*0+6/6*(30893+52800)</f>
        <v>83693</v>
      </c>
      <c r="R35"/>
      <c r="S35"/>
      <c r="T35"/>
      <c r="U35"/>
      <c r="V35"/>
      <c r="W35"/>
      <c r="X35"/>
    </row>
    <row r="36" spans="1:24" ht="12.75">
      <c r="A36" s="84"/>
      <c r="B36" s="10"/>
      <c r="C36" s="18"/>
      <c r="D36" s="21">
        <f>SUM(D22:D35)</f>
        <v>4730</v>
      </c>
      <c r="E36" s="14">
        <f>SUM(E22:E35)</f>
        <v>-256</v>
      </c>
      <c r="F36" s="14"/>
      <c r="G36" s="14"/>
      <c r="H36" s="15">
        <f t="shared" si="4"/>
        <v>4474</v>
      </c>
      <c r="I36" s="98">
        <f>SUM(I22:I35)</f>
        <v>2765769.3400000003</v>
      </c>
      <c r="J36" s="150"/>
      <c r="K36" s="122"/>
      <c r="L36" s="21">
        <f>SUM(L22:L35)</f>
        <v>1624</v>
      </c>
      <c r="M36" s="14">
        <f>SUM(M22:M35)</f>
        <v>0</v>
      </c>
      <c r="N36" s="14"/>
      <c r="O36" s="14"/>
      <c r="P36" s="15">
        <f t="shared" si="5"/>
        <v>1624</v>
      </c>
      <c r="Q36" s="135">
        <f>SUM(Q22:Q35)</f>
        <v>931078.5</v>
      </c>
      <c r="R36"/>
      <c r="S36"/>
      <c r="T36"/>
      <c r="U36"/>
      <c r="V36"/>
      <c r="W36"/>
      <c r="X36"/>
    </row>
    <row r="37" spans="1:24" ht="12.75">
      <c r="A37" s="9" t="s">
        <v>30</v>
      </c>
      <c r="B37" s="10">
        <v>3313</v>
      </c>
      <c r="C37" s="18" t="s">
        <v>31</v>
      </c>
      <c r="D37" s="20">
        <v>683</v>
      </c>
      <c r="E37" s="11">
        <f>(-147-38-13+198)-(198-24)-6.5*0-6112/6112*(20+4)</f>
        <v>-198</v>
      </c>
      <c r="F37" s="12"/>
      <c r="G37" s="12"/>
      <c r="H37" s="12">
        <f aca="true" t="shared" si="6" ref="H37:H46">D37+E37</f>
        <v>485</v>
      </c>
      <c r="I37" s="100">
        <f>(107113+607)*0+3/3*(178438+607)*0+4/4*258679*0+6/6*393328+1/1*1190</f>
        <v>394518</v>
      </c>
      <c r="J37" s="149"/>
      <c r="K37" s="122"/>
      <c r="L37" s="25"/>
      <c r="M37" s="13"/>
      <c r="N37" s="13"/>
      <c r="O37" s="13"/>
      <c r="P37" s="12">
        <f aca="true" t="shared" si="7" ref="P37:P46">L37+M37</f>
        <v>0</v>
      </c>
      <c r="Q37" s="105">
        <f>1146*0+3/3*3018*0+4/4*495*0+5/5*1788*0+6/6*2681</f>
        <v>2681</v>
      </c>
      <c r="R37"/>
      <c r="S37"/>
      <c r="T37"/>
      <c r="U37"/>
      <c r="V37"/>
      <c r="W37"/>
      <c r="X37"/>
    </row>
    <row r="38" spans="1:23" ht="12.75">
      <c r="A38" s="9"/>
      <c r="B38" s="10">
        <v>3314</v>
      </c>
      <c r="C38" s="18" t="s">
        <v>32</v>
      </c>
      <c r="D38" s="20">
        <v>1082</v>
      </c>
      <c r="E38" s="11">
        <f>403+105+36+121+10</f>
        <v>675</v>
      </c>
      <c r="F38" s="12"/>
      <c r="G38" s="12"/>
      <c r="H38" s="12">
        <f t="shared" si="6"/>
        <v>1757</v>
      </c>
      <c r="I38" s="100">
        <f>(176627.15+1300-12575)*0+3/3*(354683.9+1300-25567)*0+4/4*526877.98*0+6/6*(828324.26+1/1*2382+5801/5801*(-37631*0+6/6*-40476)-81/81*39800)</f>
        <v>750430.26</v>
      </c>
      <c r="J38" s="149"/>
      <c r="K38" s="122"/>
      <c r="L38" s="25">
        <v>107</v>
      </c>
      <c r="M38" s="13"/>
      <c r="N38" s="13"/>
      <c r="O38" s="13"/>
      <c r="P38" s="12">
        <f t="shared" si="7"/>
        <v>107</v>
      </c>
      <c r="Q38" s="105">
        <f>10385*0+3/3*17686*0+4/4*23417.5*0+5/5*28125.5*0+6/6*35540</f>
        <v>35540</v>
      </c>
      <c r="R38"/>
      <c r="S38"/>
      <c r="T38"/>
      <c r="U38"/>
      <c r="V38"/>
      <c r="W38"/>
    </row>
    <row r="39" spans="1:23" ht="12.75">
      <c r="A39" s="9"/>
      <c r="B39" s="10">
        <v>3319</v>
      </c>
      <c r="C39" s="18" t="s">
        <v>33</v>
      </c>
      <c r="D39" s="20">
        <v>608</v>
      </c>
      <c r="E39" s="11">
        <f>55-34+6+2+1</f>
        <v>30</v>
      </c>
      <c r="F39" s="12"/>
      <c r="G39" s="12"/>
      <c r="H39" s="12">
        <f t="shared" si="6"/>
        <v>638</v>
      </c>
      <c r="I39" s="100">
        <f>(93059.04+334)*0+3/3*(153372.04+334)*0+4/4*208792.54*0+6/6*(323891.22+1/1*707)</f>
        <v>324598.22</v>
      </c>
      <c r="J39" s="149"/>
      <c r="K39" s="122"/>
      <c r="L39" s="25">
        <v>155</v>
      </c>
      <c r="M39" s="13"/>
      <c r="N39" s="13"/>
      <c r="O39" s="13"/>
      <c r="P39" s="12">
        <f t="shared" si="7"/>
        <v>155</v>
      </c>
      <c r="Q39" s="105">
        <f>9248*0+3/3*8748*0+4/4*18338*0+5/5*36558*0+6/6*46978</f>
        <v>46978</v>
      </c>
      <c r="R39"/>
      <c r="S39"/>
      <c r="T39"/>
      <c r="U39"/>
      <c r="V39"/>
      <c r="W39"/>
    </row>
    <row r="40" spans="1:23" ht="12.75">
      <c r="A40" s="9"/>
      <c r="B40" s="10">
        <v>3412</v>
      </c>
      <c r="C40" s="18" t="s">
        <v>34</v>
      </c>
      <c r="D40" s="20"/>
      <c r="E40" s="11">
        <f>5/5*(27.8+17.1+112.7-157.6)+(157.6-2/2*55)</f>
        <v>102.60000000000002</v>
      </c>
      <c r="F40" s="11"/>
      <c r="G40" s="11"/>
      <c r="H40" s="12">
        <f t="shared" si="6"/>
        <v>102.60000000000002</v>
      </c>
      <c r="I40" s="100">
        <f>(107100+355872.2)*0+3/3*(13400+8233/8233*178500+8290/8290*355072.2)*0+4/4*(32170.8*0+8829/8829*112699.6)+6/6*(64777.4+1/1*11682+153/153*219)</f>
        <v>189378</v>
      </c>
      <c r="J40" s="150"/>
      <c r="K40" s="122"/>
      <c r="L40" s="25"/>
      <c r="M40" s="13"/>
      <c r="N40" s="13"/>
      <c r="O40" s="13"/>
      <c r="P40" s="12">
        <f t="shared" si="7"/>
        <v>0</v>
      </c>
      <c r="Q40" s="105"/>
      <c r="R40"/>
      <c r="S40"/>
      <c r="T40"/>
      <c r="U40"/>
      <c r="V40"/>
      <c r="W40"/>
    </row>
    <row r="41" spans="1:23" ht="12.75">
      <c r="A41" s="9"/>
      <c r="B41" s="10"/>
      <c r="C41" s="18"/>
      <c r="D41" s="21">
        <f>SUM(D37:D40)</f>
        <v>2373</v>
      </c>
      <c r="E41" s="14">
        <f>SUM(E37:E40)</f>
        <v>609.6</v>
      </c>
      <c r="F41" s="14"/>
      <c r="G41" s="14"/>
      <c r="H41" s="15">
        <f t="shared" si="6"/>
        <v>2982.6</v>
      </c>
      <c r="I41" s="98">
        <f>SUM(I37:I40)</f>
        <v>1658924.48</v>
      </c>
      <c r="J41" s="150"/>
      <c r="K41" s="122"/>
      <c r="L41" s="21">
        <f>SUM(L37:L40)</f>
        <v>262</v>
      </c>
      <c r="M41" s="14">
        <f>SUM(M37:M40)</f>
        <v>0</v>
      </c>
      <c r="N41" s="14"/>
      <c r="O41" s="14"/>
      <c r="P41" s="15">
        <f t="shared" si="7"/>
        <v>262</v>
      </c>
      <c r="Q41" s="135">
        <f>SUM(Q37:Q40)</f>
        <v>85199</v>
      </c>
      <c r="R41"/>
      <c r="S41"/>
      <c r="T41"/>
      <c r="U41"/>
      <c r="V41"/>
      <c r="W41"/>
    </row>
    <row r="42" spans="1:23" ht="12.75">
      <c r="A42" s="9" t="s">
        <v>35</v>
      </c>
      <c r="B42" s="10">
        <v>5512</v>
      </c>
      <c r="C42" s="18" t="s">
        <v>36</v>
      </c>
      <c r="D42" s="20">
        <v>95</v>
      </c>
      <c r="E42" s="12"/>
      <c r="F42" s="12"/>
      <c r="G42" s="12"/>
      <c r="H42" s="12">
        <f t="shared" si="6"/>
        <v>95</v>
      </c>
      <c r="I42" s="100">
        <f>(42533.18*0+44479.18*0+3/3*55995.18*0+4/4*218002.18*0+6/6*265416.48-81/81*182126.5)+(5/5)*127*0</f>
        <v>83289.97999999998</v>
      </c>
      <c r="J42" s="149"/>
      <c r="K42" s="122"/>
      <c r="L42" s="25"/>
      <c r="M42" s="13"/>
      <c r="N42" s="13"/>
      <c r="O42" s="13"/>
      <c r="P42" s="12">
        <f t="shared" si="7"/>
        <v>0</v>
      </c>
      <c r="Q42" s="105"/>
      <c r="R42"/>
      <c r="S42"/>
      <c r="T42"/>
      <c r="U42"/>
      <c r="V42"/>
      <c r="W42"/>
    </row>
    <row r="43" spans="1:23" ht="12.75">
      <c r="A43" s="9"/>
      <c r="B43" s="10">
        <v>5512</v>
      </c>
      <c r="C43" s="18" t="s">
        <v>37</v>
      </c>
      <c r="D43" s="20"/>
      <c r="E43" s="11"/>
      <c r="F43" s="11"/>
      <c r="G43" s="11"/>
      <c r="H43" s="12">
        <f t="shared" si="6"/>
        <v>0</v>
      </c>
      <c r="I43" s="100">
        <f>147553-2006/2006*90092</f>
        <v>57461</v>
      </c>
      <c r="J43" s="153" t="s">
        <v>167</v>
      </c>
      <c r="K43" s="122"/>
      <c r="L43" s="25"/>
      <c r="M43" s="13"/>
      <c r="N43" s="13"/>
      <c r="O43" s="13"/>
      <c r="P43" s="12">
        <f t="shared" si="7"/>
        <v>0</v>
      </c>
      <c r="Q43" s="105"/>
      <c r="R43"/>
      <c r="S43"/>
      <c r="T43"/>
      <c r="U43"/>
      <c r="V43"/>
      <c r="W43"/>
    </row>
    <row r="44" spans="1:23" ht="12.75">
      <c r="A44" s="9"/>
      <c r="B44" s="10"/>
      <c r="C44" s="18"/>
      <c r="D44" s="21">
        <f>SUM(D42:D43)</f>
        <v>95</v>
      </c>
      <c r="E44" s="14">
        <f>SUM(E42:E43)</f>
        <v>0</v>
      </c>
      <c r="F44" s="14"/>
      <c r="G44" s="14"/>
      <c r="H44" s="15">
        <f t="shared" si="6"/>
        <v>95</v>
      </c>
      <c r="I44" s="98">
        <f>SUM(I42:I43)</f>
        <v>140750.97999999998</v>
      </c>
      <c r="J44" s="150"/>
      <c r="K44" s="122"/>
      <c r="L44" s="21">
        <f>SUM(L42:L43)</f>
        <v>0</v>
      </c>
      <c r="M44" s="14">
        <f>SUM(M42:M43)</f>
        <v>0</v>
      </c>
      <c r="N44" s="14"/>
      <c r="O44" s="14"/>
      <c r="P44" s="15">
        <f t="shared" si="7"/>
        <v>0</v>
      </c>
      <c r="Q44" s="135">
        <f>SUM(Q42:Q43)</f>
        <v>0</v>
      </c>
      <c r="R44"/>
      <c r="S44"/>
      <c r="T44"/>
      <c r="U44"/>
      <c r="V44"/>
      <c r="W44"/>
    </row>
    <row r="45" spans="1:23" ht="12.75">
      <c r="A45" s="9" t="s">
        <v>38</v>
      </c>
      <c r="B45" s="10">
        <v>3612</v>
      </c>
      <c r="C45" s="18" t="s">
        <v>39</v>
      </c>
      <c r="D45" s="20">
        <v>1000</v>
      </c>
      <c r="E45" s="12"/>
      <c r="F45" s="12"/>
      <c r="G45" s="12"/>
      <c r="H45" s="12">
        <f t="shared" si="6"/>
        <v>1000</v>
      </c>
      <c r="I45" s="100">
        <f>49868*0+3/3*103968*0+4/4*(181086+1/1*536)*0+6/6*(291646+1/1*536)</f>
        <v>292182</v>
      </c>
      <c r="J45" s="148"/>
      <c r="K45" s="122"/>
      <c r="L45" s="25"/>
      <c r="M45" s="13"/>
      <c r="N45" s="13"/>
      <c r="O45" s="13"/>
      <c r="P45" s="12">
        <f t="shared" si="7"/>
        <v>0</v>
      </c>
      <c r="Q45" s="105"/>
      <c r="R45"/>
      <c r="S45"/>
      <c r="T45"/>
      <c r="U45"/>
      <c r="V45"/>
      <c r="W45"/>
    </row>
    <row r="46" spans="1:23" ht="12.75">
      <c r="A46" s="9"/>
      <c r="B46" s="10">
        <v>3639</v>
      </c>
      <c r="C46" s="18" t="s">
        <v>40</v>
      </c>
      <c r="D46" s="20">
        <v>6650</v>
      </c>
      <c r="E46" s="11">
        <f>6/6*-500+269.5</f>
        <v>-230.5</v>
      </c>
      <c r="F46" s="12"/>
      <c r="G46" s="12"/>
      <c r="H46" s="12">
        <f t="shared" si="6"/>
        <v>6419.5</v>
      </c>
      <c r="I46" s="100">
        <f>847000*0+3/3*1108000*0+4/4*1812000*0+6/6*3359489.42</f>
        <v>3359489.42</v>
      </c>
      <c r="J46" s="150"/>
      <c r="K46" s="122"/>
      <c r="L46" s="25"/>
      <c r="M46" s="13"/>
      <c r="N46" s="13"/>
      <c r="O46" s="13"/>
      <c r="P46" s="12">
        <f t="shared" si="7"/>
        <v>0</v>
      </c>
      <c r="Q46" s="105"/>
      <c r="R46"/>
      <c r="S46"/>
      <c r="T46"/>
      <c r="U46"/>
      <c r="V46"/>
      <c r="W46"/>
    </row>
    <row r="47" spans="1:23" ht="12.75">
      <c r="A47" s="9"/>
      <c r="B47" s="10"/>
      <c r="C47" s="19" t="s">
        <v>61</v>
      </c>
      <c r="D47" s="20"/>
      <c r="E47" s="12"/>
      <c r="F47" s="12"/>
      <c r="G47" s="12"/>
      <c r="H47" s="12"/>
      <c r="I47" s="97">
        <f>29000-3/3*29000+21032-3/3*21032+5484.02-3/3*2426.39+4/4*(-3057.63+29000+6220.44)*0-3057.63+6/6*(-17352+5040+5920.47)</f>
        <v>-6391.529999999999</v>
      </c>
      <c r="J47" s="148"/>
      <c r="K47" s="122"/>
      <c r="L47" s="25"/>
      <c r="M47" s="13"/>
      <c r="N47" s="13"/>
      <c r="O47" s="13"/>
      <c r="P47" s="12"/>
      <c r="Q47" s="105"/>
      <c r="R47"/>
      <c r="S47"/>
      <c r="T47"/>
      <c r="U47"/>
      <c r="V47"/>
      <c r="W47"/>
    </row>
    <row r="48" spans="1:23" ht="12.75">
      <c r="A48" s="9"/>
      <c r="B48" s="10">
        <v>3632</v>
      </c>
      <c r="C48" s="18" t="s">
        <v>82</v>
      </c>
      <c r="D48" s="20"/>
      <c r="E48" s="11"/>
      <c r="F48" s="11"/>
      <c r="G48" s="11"/>
      <c r="H48" s="12">
        <f>D48+E48</f>
        <v>0</v>
      </c>
      <c r="I48" s="100"/>
      <c r="J48" s="148"/>
      <c r="K48" s="122"/>
      <c r="L48" s="25">
        <v>227</v>
      </c>
      <c r="M48" s="13"/>
      <c r="N48" s="13"/>
      <c r="O48" s="13"/>
      <c r="P48" s="12">
        <f aca="true" t="shared" si="8" ref="P48:P74">L48+M48</f>
        <v>227</v>
      </c>
      <c r="Q48" s="105">
        <f>20772*0+3/3*48242*0+4/4*68276*0+5/5*77931*0+6/6*106807</f>
        <v>106807</v>
      </c>
      <c r="R48"/>
      <c r="S48"/>
      <c r="T48"/>
      <c r="U48"/>
      <c r="V48"/>
      <c r="W48"/>
    </row>
    <row r="49" spans="1:23" ht="12.75">
      <c r="A49" s="9"/>
      <c r="B49" s="10"/>
      <c r="C49" s="18"/>
      <c r="D49" s="21">
        <f>SUM(D45:D48)</f>
        <v>7650</v>
      </c>
      <c r="E49" s="14">
        <f>SUM(E45:E48)</f>
        <v>-230.5</v>
      </c>
      <c r="F49" s="14"/>
      <c r="G49" s="14"/>
      <c r="H49" s="15">
        <f>D49+E49</f>
        <v>7419.5</v>
      </c>
      <c r="I49" s="98">
        <f>SUM(I45:I48)</f>
        <v>3645279.89</v>
      </c>
      <c r="J49" s="150"/>
      <c r="K49" s="122"/>
      <c r="L49" s="21">
        <f>SUM(L45:L48)</f>
        <v>227</v>
      </c>
      <c r="M49" s="14">
        <f>SUM(M45:M48)</f>
        <v>0</v>
      </c>
      <c r="N49" s="14"/>
      <c r="O49" s="14"/>
      <c r="P49" s="15">
        <f t="shared" si="8"/>
        <v>227</v>
      </c>
      <c r="Q49" s="135">
        <f>SUM(Q45:Q48)</f>
        <v>106807</v>
      </c>
      <c r="R49"/>
      <c r="S49"/>
      <c r="T49"/>
      <c r="U49"/>
      <c r="V49"/>
      <c r="W49"/>
    </row>
    <row r="50" spans="1:23" ht="12.75">
      <c r="A50" s="9" t="s">
        <v>41</v>
      </c>
      <c r="B50" s="10">
        <v>6112</v>
      </c>
      <c r="C50" s="18" t="s">
        <v>42</v>
      </c>
      <c r="D50" s="20">
        <v>1735</v>
      </c>
      <c r="E50" s="11">
        <f>5/5*(118/118*20+153/153*4)</f>
        <v>24</v>
      </c>
      <c r="F50" s="12"/>
      <c r="G50" s="12"/>
      <c r="H50" s="12">
        <f>D50+E50</f>
        <v>1759</v>
      </c>
      <c r="I50" s="100">
        <f>(205257.5*0+207545.5)*0+3/3*(425590.5+1/1*70)*0+(5/5)*238*0+4/4*647758.5*0+1/1*70+6/6*965262</f>
        <v>965332</v>
      </c>
      <c r="J50" s="148"/>
      <c r="K50" s="122"/>
      <c r="L50" s="25"/>
      <c r="M50" s="13"/>
      <c r="N50" s="13"/>
      <c r="O50" s="13"/>
      <c r="P50" s="12">
        <f t="shared" si="8"/>
        <v>0</v>
      </c>
      <c r="Q50" s="105"/>
      <c r="R50"/>
      <c r="S50"/>
      <c r="T50"/>
      <c r="U50"/>
      <c r="V50"/>
      <c r="W50"/>
    </row>
    <row r="51" spans="1:23" ht="12.75">
      <c r="A51" s="79">
        <f>(12+1.5+10*2+8+10+8+20+15+7+8.2+12.3+13+30+20+3.6+8+4+20-221.6*0)*1000-219100*0</f>
        <v>220600</v>
      </c>
      <c r="B51" s="10">
        <v>6171</v>
      </c>
      <c r="C51" s="18" t="s">
        <v>43</v>
      </c>
      <c r="D51" s="20">
        <v>41819</v>
      </c>
      <c r="E51" s="11">
        <v>48.9</v>
      </c>
      <c r="F51" s="12"/>
      <c r="G51" s="12"/>
      <c r="H51" s="12">
        <f>D51+E51</f>
        <v>41867.9</v>
      </c>
      <c r="I51" s="100">
        <f>(4014832.55*0+3984243.05*0+3/3*8093340.58*0+4/4*11565278.14*0+6/6*17822617.44-81/81*17030-98031/98031*83790-98/98*(617962+202150))+3/3*98031/98031*(-41868*0+4/4*-41868)*0+81/81*17030*0+1/1*(164832*0+3/3*197688*0+4/4*305535*0+6/6*313849)+3/3*(64856*0+3/3*128695*0+4/4*207133*0+6/6*336987)+5011/5011*225+5801/5801*(-36273*0-81086*0-123140*0-6/6*196955)+847374/847374*(864*0+3/3*1318*0+4/4*1761+844*0+3/3*1288*0+4/4*1721*0+6/6*2587)+6/6*5141/5141*80039.7+5192/5192*(220600*0+6/6*299530)+(10/10)*(5141/5141*72062.81+5163/5163*(187.5*0+6/6*427.5))+4/4*(5/5)*14122*0+6/6*(11371/11371*7500+11401/11401*7500)-I52</f>
        <v>9001739.45</v>
      </c>
      <c r="J51" s="150"/>
      <c r="K51" s="122"/>
      <c r="L51" s="25">
        <f>1032-2343/2343*882</f>
        <v>150</v>
      </c>
      <c r="M51" s="13"/>
      <c r="N51" s="13"/>
      <c r="O51" s="13"/>
      <c r="P51" s="12">
        <f t="shared" si="8"/>
        <v>150</v>
      </c>
      <c r="Q51" s="105"/>
      <c r="R51"/>
      <c r="S51"/>
      <c r="T51"/>
      <c r="U51"/>
      <c r="V51"/>
      <c r="W51"/>
    </row>
    <row r="52" spans="1:23" ht="12.75">
      <c r="A52" s="79"/>
      <c r="B52" s="10"/>
      <c r="C52" s="18" t="s">
        <v>152</v>
      </c>
      <c r="D52" s="20"/>
      <c r="E52" s="11"/>
      <c r="F52" s="12"/>
      <c r="G52" s="12"/>
      <c r="H52" s="12"/>
      <c r="I52" s="100">
        <f>6395260*(1+0.26+0.09+0.03)+1.2</f>
        <v>8825460</v>
      </c>
      <c r="J52" s="150"/>
      <c r="K52" s="122"/>
      <c r="L52" s="25"/>
      <c r="M52" s="13"/>
      <c r="N52" s="13"/>
      <c r="O52" s="13"/>
      <c r="P52" s="12"/>
      <c r="Q52" s="105"/>
      <c r="R52"/>
      <c r="S52"/>
      <c r="T52"/>
      <c r="U52"/>
      <c r="V52"/>
      <c r="W52"/>
    </row>
    <row r="53" spans="1:23" ht="12.75">
      <c r="A53" s="79">
        <f>(12+1.5+10*2+30+8+10+5+8+20+7+15+20+7+8.2+12.3+13+30+5+20+3.6+10+8+4+20+1.93-221.6*0)*1000-219100*0</f>
        <v>299530.00000000006</v>
      </c>
      <c r="B53" s="10"/>
      <c r="C53" s="18" t="s">
        <v>56</v>
      </c>
      <c r="D53" s="20"/>
      <c r="E53" s="12"/>
      <c r="F53" s="12"/>
      <c r="G53" s="12"/>
      <c r="H53" s="12">
        <f aca="true" t="shared" si="9" ref="H53:H61">D53+E53</f>
        <v>0</v>
      </c>
      <c r="I53" s="100">
        <f>83045.4*0+3/3*82768.6*0+6/6*165623.2</f>
        <v>165623.2</v>
      </c>
      <c r="J53" s="148"/>
      <c r="K53" s="24" t="s">
        <v>64</v>
      </c>
      <c r="L53" s="25">
        <v>722</v>
      </c>
      <c r="M53" s="13"/>
      <c r="N53" s="13"/>
      <c r="O53" s="13"/>
      <c r="P53" s="12">
        <f t="shared" si="8"/>
        <v>722</v>
      </c>
      <c r="Q53" s="105">
        <f>132000*0+3/3*159160*0+4/4*176160*0+5/5*178360*0+6/6*214460</f>
        <v>214460</v>
      </c>
      <c r="R53"/>
      <c r="S53"/>
      <c r="T53"/>
      <c r="U53"/>
      <c r="V53"/>
      <c r="W53"/>
    </row>
    <row r="54" spans="1:23" ht="12.75" hidden="1">
      <c r="A54" s="9"/>
      <c r="B54" s="110"/>
      <c r="C54" s="18" t="s">
        <v>29</v>
      </c>
      <c r="D54" s="20"/>
      <c r="E54" s="11">
        <f>4/4*278*0</f>
        <v>0</v>
      </c>
      <c r="F54" s="11"/>
      <c r="G54" s="11"/>
      <c r="H54" s="12">
        <f t="shared" si="9"/>
        <v>0</v>
      </c>
      <c r="I54" s="100"/>
      <c r="J54" s="148" t="s">
        <v>140</v>
      </c>
      <c r="K54" s="122"/>
      <c r="L54" s="25"/>
      <c r="M54" s="11">
        <f>278*0</f>
        <v>0</v>
      </c>
      <c r="N54" s="11"/>
      <c r="O54" s="11"/>
      <c r="P54" s="12">
        <f t="shared" si="8"/>
        <v>0</v>
      </c>
      <c r="Q54" s="105">
        <f>278000*0+3/3*202150*0</f>
        <v>0</v>
      </c>
      <c r="R54"/>
      <c r="S54"/>
      <c r="T54"/>
      <c r="U54"/>
      <c r="V54"/>
      <c r="W54"/>
    </row>
    <row r="55" spans="1:23" ht="12.75" hidden="1">
      <c r="A55" s="9"/>
      <c r="B55" s="110"/>
      <c r="C55" s="18" t="s">
        <v>127</v>
      </c>
      <c r="D55" s="20"/>
      <c r="E55" s="11">
        <f>202.1*0</f>
        <v>0</v>
      </c>
      <c r="F55" s="11"/>
      <c r="G55" s="11"/>
      <c r="H55" s="12">
        <f>D55+E55</f>
        <v>0</v>
      </c>
      <c r="I55" s="100"/>
      <c r="J55" s="148" t="s">
        <v>140</v>
      </c>
      <c r="K55" s="122"/>
      <c r="L55" s="25"/>
      <c r="M55" s="11">
        <f>278*0</f>
        <v>0</v>
      </c>
      <c r="N55" s="11"/>
      <c r="O55" s="11"/>
      <c r="P55" s="12">
        <f>L55+M55</f>
        <v>0</v>
      </c>
      <c r="Q55" s="105">
        <f>278000*0+3/3*202150*0</f>
        <v>0</v>
      </c>
      <c r="R55"/>
      <c r="S55"/>
      <c r="T55"/>
      <c r="U55"/>
      <c r="V55"/>
      <c r="W55"/>
    </row>
    <row r="56" spans="1:23" ht="12.75">
      <c r="A56" s="9"/>
      <c r="B56" s="10"/>
      <c r="C56" s="18" t="s">
        <v>44</v>
      </c>
      <c r="D56" s="20">
        <f>14330*3%+0.1</f>
        <v>430</v>
      </c>
      <c r="E56" s="12"/>
      <c r="F56" s="12"/>
      <c r="G56" s="12"/>
      <c r="H56" s="12">
        <f t="shared" si="9"/>
        <v>430</v>
      </c>
      <c r="I56" s="100">
        <f>4/4*218852</f>
        <v>218852</v>
      </c>
      <c r="J56" s="148"/>
      <c r="K56" s="83" t="s">
        <v>141</v>
      </c>
      <c r="L56" s="25"/>
      <c r="M56" s="13"/>
      <c r="N56" s="13"/>
      <c r="O56" s="13"/>
      <c r="P56" s="12">
        <f t="shared" si="8"/>
        <v>0</v>
      </c>
      <c r="Q56" s="105">
        <f>2460/2460*(32650*0+69800*0+3/3*104450*0+4/4*134600*0+5/5*167750*0+6/6*203800)</f>
        <v>203800</v>
      </c>
      <c r="R56"/>
      <c r="S56"/>
      <c r="T56"/>
      <c r="U56"/>
      <c r="V56"/>
      <c r="W56"/>
    </row>
    <row r="57" spans="1:23" ht="12.75">
      <c r="A57" s="17">
        <f>44340+(5101+(44340+60-27600)*32%)*0-10477</f>
        <v>33863</v>
      </c>
      <c r="B57" s="10"/>
      <c r="C57" s="18" t="s">
        <v>57</v>
      </c>
      <c r="D57" s="20"/>
      <c r="E57" s="12"/>
      <c r="F57" s="12"/>
      <c r="G57" s="12"/>
      <c r="H57" s="12">
        <f t="shared" si="9"/>
        <v>0</v>
      </c>
      <c r="I57" s="100">
        <f>117357.4*0+3/3*125725.4*0+4/4*180996.4*0+6/6*231718.9</f>
        <v>231718.9</v>
      </c>
      <c r="J57" s="148"/>
      <c r="K57" s="24" t="s">
        <v>65</v>
      </c>
      <c r="L57" s="25"/>
      <c r="M57" s="13"/>
      <c r="N57" s="13"/>
      <c r="O57" s="13"/>
      <c r="P57" s="12">
        <f t="shared" si="8"/>
        <v>0</v>
      </c>
      <c r="Q57" s="105">
        <f>10000*0+3/3*65029*0+4/4*66480*0+5/5*67931*0+6/6*74382</f>
        <v>74382</v>
      </c>
      <c r="R57"/>
      <c r="S57"/>
      <c r="T57"/>
      <c r="U57"/>
      <c r="V57"/>
      <c r="W57"/>
    </row>
    <row r="58" spans="1:23" ht="12.75">
      <c r="A58" s="17">
        <f>1730-(1730+70)*12%*0-216</f>
        <v>1514</v>
      </c>
      <c r="B58" s="10"/>
      <c r="C58" s="18" t="s">
        <v>58</v>
      </c>
      <c r="D58" s="20"/>
      <c r="E58" s="12"/>
      <c r="F58" s="12"/>
      <c r="G58" s="12"/>
      <c r="H58" s="12">
        <f t="shared" si="9"/>
        <v>0</v>
      </c>
      <c r="I58" s="100">
        <f>97844.5*0+3/3*99149.5*0+4/4*138034.5*0+6/6*157432.5</f>
        <v>157432.5</v>
      </c>
      <c r="J58" s="148"/>
      <c r="K58" s="24" t="s">
        <v>66</v>
      </c>
      <c r="L58" s="25"/>
      <c r="M58" s="13"/>
      <c r="N58" s="13"/>
      <c r="O58" s="13"/>
      <c r="P58" s="12">
        <f t="shared" si="8"/>
        <v>0</v>
      </c>
      <c r="Q58" s="105">
        <f>10212*0+6/6*25212</f>
        <v>25212</v>
      </c>
      <c r="R58"/>
      <c r="S58"/>
      <c r="T58"/>
      <c r="U58"/>
      <c r="V58"/>
      <c r="W58"/>
    </row>
    <row r="59" spans="1:17" ht="12.75">
      <c r="A59" s="17">
        <f>A57+A58</f>
        <v>35377</v>
      </c>
      <c r="B59" s="10"/>
      <c r="C59" s="18" t="s">
        <v>59</v>
      </c>
      <c r="D59" s="20"/>
      <c r="E59" s="11">
        <f>19+(265-50)-4375/4375*215</f>
        <v>19</v>
      </c>
      <c r="F59" s="12"/>
      <c r="G59" s="12"/>
      <c r="H59" s="12">
        <f>D59+E59</f>
        <v>19</v>
      </c>
      <c r="I59" s="100">
        <f>(36158*0+3/3*39935*0+4/4*54822*0+6/6*73598+98031/98031*3/3*4/4*41868*0)+5410/5410*(29280.9*0+3/3*63955.8*0+4/4*95138.1*0+6/6*144665.9)</f>
        <v>218263.9</v>
      </c>
      <c r="J59" s="148"/>
      <c r="K59" s="24" t="s">
        <v>67</v>
      </c>
      <c r="L59" s="25"/>
      <c r="M59" s="13"/>
      <c r="N59" s="13"/>
      <c r="O59" s="13"/>
      <c r="P59" s="12">
        <f t="shared" si="8"/>
        <v>0</v>
      </c>
      <c r="Q59" s="105">
        <f>488307.84*0+3/3*1106019.44*0+4/4*1110254.8*0+5/5*1188447.34*0+1188985.34</f>
        <v>1188985.34</v>
      </c>
    </row>
    <row r="60" spans="1:24" ht="12.75">
      <c r="A60" s="17">
        <f>46070+(5101+(46070+30-27600)*32%)*0-11021</f>
        <v>35049</v>
      </c>
      <c r="B60" s="10"/>
      <c r="C60" s="18" t="s">
        <v>60</v>
      </c>
      <c r="D60" s="20"/>
      <c r="E60" s="12"/>
      <c r="F60" s="12"/>
      <c r="G60" s="12"/>
      <c r="H60" s="12">
        <f>D60+E60</f>
        <v>0</v>
      </c>
      <c r="I60" s="100">
        <f>34857.3*0+3/3*52317.8*0+4/4*130626.3*0+6/6*166832.8</f>
        <v>166832.8</v>
      </c>
      <c r="J60" s="148"/>
      <c r="K60" s="24" t="s">
        <v>68</v>
      </c>
      <c r="L60" s="25">
        <f>882</f>
        <v>882</v>
      </c>
      <c r="M60" s="13"/>
      <c r="N60" s="13"/>
      <c r="O60" s="13"/>
      <c r="P60" s="12">
        <f t="shared" si="8"/>
        <v>882</v>
      </c>
      <c r="Q60" s="105">
        <f>48920*0+5/5*126273</f>
        <v>126273</v>
      </c>
      <c r="R60"/>
      <c r="S60"/>
      <c r="T60"/>
      <c r="U60"/>
      <c r="V60"/>
      <c r="W60"/>
      <c r="X60"/>
    </row>
    <row r="61" spans="1:24" ht="12.75">
      <c r="A61" s="9"/>
      <c r="B61" s="10"/>
      <c r="C61" s="18" t="s">
        <v>151</v>
      </c>
      <c r="D61" s="20"/>
      <c r="E61" s="11"/>
      <c r="F61" s="11"/>
      <c r="G61" s="11"/>
      <c r="H61" s="12">
        <f t="shared" si="9"/>
        <v>0</v>
      </c>
      <c r="I61" s="100">
        <f>1368/1368*2050+2105/2105*-1680+6/6*(4/4*1618.62)</f>
        <v>1988.62</v>
      </c>
      <c r="J61" s="148"/>
      <c r="K61" s="122"/>
      <c r="L61" s="25"/>
      <c r="M61" s="13"/>
      <c r="N61" s="13"/>
      <c r="O61" s="13"/>
      <c r="P61" s="12">
        <f t="shared" si="8"/>
        <v>0</v>
      </c>
      <c r="Q61" s="105"/>
      <c r="R61"/>
      <c r="S61"/>
      <c r="T61"/>
      <c r="U61"/>
      <c r="V61"/>
      <c r="W61"/>
      <c r="X61"/>
    </row>
    <row r="62" spans="1:24" ht="12.75">
      <c r="A62" s="9"/>
      <c r="B62" s="10"/>
      <c r="C62" s="18"/>
      <c r="D62" s="21">
        <f>SUM(D50:D61)</f>
        <v>43984</v>
      </c>
      <c r="E62" s="14">
        <f>SUM(E50:E61)</f>
        <v>91.9</v>
      </c>
      <c r="F62" s="14"/>
      <c r="G62" s="14"/>
      <c r="H62" s="15">
        <f>D62+E62</f>
        <v>44075.9</v>
      </c>
      <c r="I62" s="98">
        <f>SUM(I50:I61)</f>
        <v>19953243.369999997</v>
      </c>
      <c r="J62" s="150"/>
      <c r="K62" s="122"/>
      <c r="L62" s="21">
        <f>SUM(L50:L61)</f>
        <v>1754</v>
      </c>
      <c r="M62" s="14">
        <f>SUM(M50:M61)</f>
        <v>0</v>
      </c>
      <c r="N62" s="14"/>
      <c r="O62" s="14"/>
      <c r="P62" s="15">
        <f t="shared" si="8"/>
        <v>1754</v>
      </c>
      <c r="Q62" s="135">
        <f>SUM(Q50:Q61)</f>
        <v>1833112.34</v>
      </c>
      <c r="R62"/>
      <c r="S62"/>
      <c r="T62"/>
      <c r="U62"/>
      <c r="V62"/>
      <c r="W62"/>
      <c r="X62"/>
    </row>
    <row r="63" spans="1:24" ht="19.5">
      <c r="A63" s="9"/>
      <c r="B63" s="10"/>
      <c r="C63" s="18"/>
      <c r="D63" s="22"/>
      <c r="E63" s="12"/>
      <c r="F63" s="12"/>
      <c r="G63" s="12"/>
      <c r="H63" s="12"/>
      <c r="I63" s="100"/>
      <c r="J63" s="148"/>
      <c r="K63" s="95" t="s">
        <v>157</v>
      </c>
      <c r="L63" s="25">
        <f>2711*0+1341/1341*(348+228*0)+1342/1342*(54+2007/2007*9+70*0)+1343/1343*(761+404*0)+1344/1344*(27+11*0)+1347/1347*(1512+1076*0-335*0)</f>
        <v>2711</v>
      </c>
      <c r="M63" s="13"/>
      <c r="N63" s="13"/>
      <c r="O63" s="13"/>
      <c r="P63" s="12">
        <f t="shared" si="8"/>
        <v>2711</v>
      </c>
      <c r="Q63" s="105">
        <f>1/1*(34401*0+3/3*73707.75*0+4/4*116526*0+5/5*150544.25*0+6/6*153540)+2/2*(9735*0+3/3*13102.5*0+4/4*14092.5*0+5/5*16575*0+6/6*41955)+3/3*(180292*0+3/3*247472*0+4/4*306297*0+5/5*344710*0+6/6*363252)+4/4*(3/3*5391*0+4/4*6351)+5/5*(45112*0+3/3*71004*0+4/4*105192*0+5/5*121116*0+6/6*148028)+7/7*(150000*0+3/3*398024*0+4/4*699392*0+5/5*859952*0+6/6*919952)</f>
        <v>1633078</v>
      </c>
      <c r="R63"/>
      <c r="S63"/>
      <c r="T63"/>
      <c r="U63"/>
      <c r="V63"/>
      <c r="W63"/>
      <c r="X63"/>
    </row>
    <row r="64" spans="1:24" ht="12.75">
      <c r="A64" s="9"/>
      <c r="B64" s="10"/>
      <c r="C64" s="18"/>
      <c r="D64" s="22"/>
      <c r="E64" s="12"/>
      <c r="F64" s="12"/>
      <c r="G64" s="12"/>
      <c r="H64" s="12"/>
      <c r="I64" s="100"/>
      <c r="J64" s="148"/>
      <c r="K64" s="24" t="s">
        <v>69</v>
      </c>
      <c r="L64" s="25">
        <v>3700</v>
      </c>
      <c r="M64" s="13"/>
      <c r="N64" s="13"/>
      <c r="O64" s="13"/>
      <c r="P64" s="12">
        <f t="shared" si="8"/>
        <v>3700</v>
      </c>
      <c r="Q64" s="105">
        <f>451833*0+3/3*361118*0+4/4*583508*0+5/5*927878*0+6/6*1890828</f>
        <v>1890828</v>
      </c>
      <c r="R64"/>
      <c r="S64"/>
      <c r="T64"/>
      <c r="U64"/>
      <c r="V64"/>
      <c r="W64"/>
      <c r="X64"/>
    </row>
    <row r="65" spans="1:24" ht="12.75">
      <c r="A65" s="9"/>
      <c r="B65" s="10"/>
      <c r="C65" s="18"/>
      <c r="D65" s="22"/>
      <c r="E65" s="12"/>
      <c r="F65" s="12"/>
      <c r="G65" s="12"/>
      <c r="H65" s="12"/>
      <c r="I65" s="100"/>
      <c r="J65" s="148"/>
      <c r="K65" s="24" t="s">
        <v>70</v>
      </c>
      <c r="L65" s="25">
        <v>4100</v>
      </c>
      <c r="M65" s="13"/>
      <c r="N65" s="13"/>
      <c r="O65" s="13"/>
      <c r="P65" s="12">
        <f t="shared" si="8"/>
        <v>4100</v>
      </c>
      <c r="Q65" s="105">
        <f>0+4/4*37069.27*0+5/5*41405.27*0+6/6*41946.27</f>
        <v>41946.27</v>
      </c>
      <c r="R65"/>
      <c r="S65"/>
      <c r="T65"/>
      <c r="U65"/>
      <c r="V65"/>
      <c r="W65"/>
      <c r="X65"/>
    </row>
    <row r="66" spans="1:24" ht="12.75" hidden="1">
      <c r="A66" s="9"/>
      <c r="B66" s="10"/>
      <c r="C66" s="18"/>
      <c r="D66" s="22"/>
      <c r="E66" s="12"/>
      <c r="F66" s="12"/>
      <c r="G66" s="12"/>
      <c r="H66" s="12"/>
      <c r="I66" s="100"/>
      <c r="J66" s="148"/>
      <c r="K66" s="24" t="s">
        <v>47</v>
      </c>
      <c r="L66" s="25"/>
      <c r="M66" s="13"/>
      <c r="N66" s="13"/>
      <c r="O66" s="13"/>
      <c r="P66" s="12">
        <f t="shared" si="8"/>
        <v>0</v>
      </c>
      <c r="Q66" s="105"/>
      <c r="R66"/>
      <c r="S66"/>
      <c r="T66"/>
      <c r="U66"/>
      <c r="V66"/>
      <c r="W66"/>
      <c r="X66"/>
    </row>
    <row r="67" spans="1:24" ht="12.75">
      <c r="A67" s="9"/>
      <c r="B67" s="10"/>
      <c r="C67" s="18"/>
      <c r="D67" s="22"/>
      <c r="E67" s="12"/>
      <c r="F67" s="12"/>
      <c r="G67" s="12"/>
      <c r="H67" s="12"/>
      <c r="I67" s="100"/>
      <c r="J67" s="148"/>
      <c r="K67" s="24" t="s">
        <v>71</v>
      </c>
      <c r="L67" s="25">
        <v>977</v>
      </c>
      <c r="M67" s="13"/>
      <c r="N67" s="13"/>
      <c r="O67" s="13"/>
      <c r="P67" s="12">
        <f t="shared" si="8"/>
        <v>977</v>
      </c>
      <c r="Q67" s="105">
        <f>P67/P68*(824000*6)-292.50784*6</f>
        <v>540000.0000663258</v>
      </c>
      <c r="R67"/>
      <c r="S67"/>
      <c r="T67"/>
      <c r="U67"/>
      <c r="V67"/>
      <c r="W67"/>
      <c r="X67"/>
    </row>
    <row r="68" spans="1:24" ht="12.75">
      <c r="A68" s="9"/>
      <c r="B68" s="10"/>
      <c r="C68" s="18"/>
      <c r="D68" s="22"/>
      <c r="E68" s="12"/>
      <c r="F68" s="12"/>
      <c r="G68" s="12"/>
      <c r="H68" s="12"/>
      <c r="I68" s="100"/>
      <c r="J68" s="148"/>
      <c r="K68" s="24" t="s">
        <v>72</v>
      </c>
      <c r="L68" s="25">
        <v>8916</v>
      </c>
      <c r="M68" s="13"/>
      <c r="N68" s="13"/>
      <c r="O68" s="13"/>
      <c r="P68" s="12">
        <f t="shared" si="8"/>
        <v>8916</v>
      </c>
      <c r="Q68" s="105">
        <f>824000*6-Q67</f>
        <v>4403999.999933674</v>
      </c>
      <c r="R68"/>
      <c r="S68"/>
      <c r="T68"/>
      <c r="U68"/>
      <c r="V68"/>
      <c r="W68"/>
      <c r="X68"/>
    </row>
    <row r="69" spans="1:24" ht="12.75">
      <c r="A69" s="9"/>
      <c r="B69" s="10"/>
      <c r="C69" s="18"/>
      <c r="D69" s="22"/>
      <c r="E69" s="12"/>
      <c r="F69" s="12"/>
      <c r="G69" s="12"/>
      <c r="H69" s="12"/>
      <c r="I69" s="100"/>
      <c r="J69" s="148"/>
      <c r="K69" s="24" t="s">
        <v>73</v>
      </c>
      <c r="L69" s="25">
        <v>24972</v>
      </c>
      <c r="M69" s="13"/>
      <c r="N69" s="13"/>
      <c r="O69" s="13"/>
      <c r="P69" s="12">
        <f t="shared" si="8"/>
        <v>24972</v>
      </c>
      <c r="Q69" s="105">
        <f>P69*1000/12*(4+2)</f>
        <v>12486000</v>
      </c>
      <c r="R69"/>
      <c r="S69"/>
      <c r="T69"/>
      <c r="U69"/>
      <c r="V69"/>
      <c r="W69"/>
      <c r="X69"/>
    </row>
    <row r="70" spans="1:24" ht="12.75">
      <c r="A70" s="9"/>
      <c r="B70" s="10"/>
      <c r="C70" s="18"/>
      <c r="D70" s="22"/>
      <c r="E70" s="12"/>
      <c r="F70" s="12"/>
      <c r="G70" s="12"/>
      <c r="H70" s="12"/>
      <c r="I70" s="100"/>
      <c r="J70" s="147"/>
      <c r="K70" s="24" t="s">
        <v>48</v>
      </c>
      <c r="L70" s="25">
        <f>2390*0</f>
        <v>0</v>
      </c>
      <c r="M70" s="13"/>
      <c r="N70" s="13"/>
      <c r="O70" s="13"/>
      <c r="P70" s="12">
        <f t="shared" si="8"/>
        <v>0</v>
      </c>
      <c r="Q70" s="105"/>
      <c r="R70"/>
      <c r="S70"/>
      <c r="T70"/>
      <c r="U70"/>
      <c r="V70"/>
      <c r="W70"/>
      <c r="X70"/>
    </row>
    <row r="71" spans="1:24" ht="12.75">
      <c r="A71" s="9"/>
      <c r="B71" s="10"/>
      <c r="C71" s="18"/>
      <c r="D71" s="22"/>
      <c r="E71" s="12"/>
      <c r="F71" s="12"/>
      <c r="G71" s="12"/>
      <c r="H71" s="12"/>
      <c r="I71" s="100"/>
      <c r="J71" s="147"/>
      <c r="K71" s="24" t="s">
        <v>75</v>
      </c>
      <c r="L71" s="25">
        <f>10500+2390</f>
        <v>12890</v>
      </c>
      <c r="M71" s="13"/>
      <c r="N71" s="13"/>
      <c r="O71" s="13"/>
      <c r="P71" s="12">
        <f t="shared" si="8"/>
        <v>12890</v>
      </c>
      <c r="Q71" s="105">
        <f>2100000*0+3/3*2900000*0+4/4*3900000*0+5/5*5480000*0+6/6*4480000</f>
        <v>4480000</v>
      </c>
      <c r="R71"/>
      <c r="S71"/>
      <c r="T71"/>
      <c r="U71"/>
      <c r="V71"/>
      <c r="W71"/>
      <c r="X71"/>
    </row>
    <row r="72" spans="1:24" ht="19.5">
      <c r="A72" s="9"/>
      <c r="B72" s="10"/>
      <c r="C72" s="18"/>
      <c r="D72" s="22"/>
      <c r="E72" s="12"/>
      <c r="F72" s="12"/>
      <c r="G72" s="12"/>
      <c r="H72" s="12"/>
      <c r="I72" s="100"/>
      <c r="J72" s="147"/>
      <c r="K72" s="94" t="s">
        <v>74</v>
      </c>
      <c r="L72" s="25">
        <v>2110</v>
      </c>
      <c r="M72" s="13"/>
      <c r="N72" s="13"/>
      <c r="O72" s="13"/>
      <c r="P72" s="12">
        <f t="shared" si="8"/>
        <v>2110</v>
      </c>
      <c r="Q72" s="105"/>
      <c r="R72"/>
      <c r="S72"/>
      <c r="T72"/>
      <c r="U72"/>
      <c r="V72"/>
      <c r="W72"/>
      <c r="X72"/>
    </row>
    <row r="73" spans="1:24" ht="12.75" hidden="1">
      <c r="A73" s="9"/>
      <c r="B73" s="10"/>
      <c r="C73" s="18"/>
      <c r="D73" s="22"/>
      <c r="E73" s="12"/>
      <c r="F73" s="12"/>
      <c r="G73" s="12"/>
      <c r="H73" s="12"/>
      <c r="I73" s="100"/>
      <c r="J73" s="147"/>
      <c r="K73" s="24" t="s">
        <v>49</v>
      </c>
      <c r="L73" s="25"/>
      <c r="M73" s="13"/>
      <c r="N73" s="13"/>
      <c r="O73" s="13"/>
      <c r="P73" s="12">
        <f t="shared" si="8"/>
        <v>0</v>
      </c>
      <c r="Q73" s="105"/>
      <c r="R73"/>
      <c r="S73"/>
      <c r="T73"/>
      <c r="U73"/>
      <c r="V73"/>
      <c r="W73"/>
      <c r="X73"/>
    </row>
    <row r="74" spans="1:24" ht="12.75">
      <c r="A74" s="9"/>
      <c r="B74" s="10"/>
      <c r="C74" s="18"/>
      <c r="D74" s="22"/>
      <c r="E74" s="12"/>
      <c r="F74" s="12"/>
      <c r="G74" s="12"/>
      <c r="H74" s="12"/>
      <c r="I74" s="100"/>
      <c r="J74" s="147"/>
      <c r="K74" s="24" t="s">
        <v>50</v>
      </c>
      <c r="L74" s="25">
        <v>163</v>
      </c>
      <c r="M74" s="13"/>
      <c r="N74" s="13"/>
      <c r="O74" s="13"/>
      <c r="P74" s="12">
        <f t="shared" si="8"/>
        <v>163</v>
      </c>
      <c r="Q74" s="105">
        <f>3/3*2141/2141*((9/9)*8157.81*0+6/6*15950.68+(10/10)*105.59*0+6/6*212.1)</f>
        <v>16162.78</v>
      </c>
      <c r="R74"/>
      <c r="S74"/>
      <c r="T74"/>
      <c r="U74"/>
      <c r="V74"/>
      <c r="W74"/>
      <c r="X74"/>
    </row>
    <row r="75" spans="1:24" ht="12.75">
      <c r="A75" s="9"/>
      <c r="B75" s="10"/>
      <c r="C75" s="18"/>
      <c r="D75" s="22"/>
      <c r="E75" s="12"/>
      <c r="F75" s="12"/>
      <c r="G75" s="12"/>
      <c r="H75" s="12"/>
      <c r="I75" s="100"/>
      <c r="J75" s="147"/>
      <c r="K75" s="123" t="s">
        <v>81</v>
      </c>
      <c r="L75" s="25"/>
      <c r="M75" s="13"/>
      <c r="N75" s="13"/>
      <c r="O75" s="13"/>
      <c r="P75" s="12"/>
      <c r="Q75" s="105">
        <f>2221/2221*3755</f>
        <v>3755</v>
      </c>
      <c r="R75"/>
      <c r="S75"/>
      <c r="T75"/>
      <c r="U75"/>
      <c r="V75"/>
      <c r="W75"/>
      <c r="X75"/>
    </row>
    <row r="76" spans="1:24" ht="12.75">
      <c r="A76" s="9"/>
      <c r="B76" s="10"/>
      <c r="C76" s="18"/>
      <c r="D76" s="22"/>
      <c r="E76" s="12"/>
      <c r="F76" s="12"/>
      <c r="G76" s="12"/>
      <c r="H76" s="12"/>
      <c r="I76" s="100"/>
      <c r="J76" s="154"/>
      <c r="K76" s="26" t="s">
        <v>129</v>
      </c>
      <c r="L76" s="25"/>
      <c r="M76" s="13"/>
      <c r="N76" s="13"/>
      <c r="O76" s="13"/>
      <c r="P76" s="12"/>
      <c r="Q76" s="105">
        <f>2210/2210*4/4*-41110.28</f>
        <v>-41110.28</v>
      </c>
      <c r="R76"/>
      <c r="S76"/>
      <c r="T76"/>
      <c r="U76"/>
      <c r="V76"/>
      <c r="W76"/>
      <c r="X76"/>
    </row>
    <row r="77" spans="1:24" ht="12.75">
      <c r="A77" s="9"/>
      <c r="B77" s="10"/>
      <c r="C77" s="18"/>
      <c r="D77" s="22"/>
      <c r="E77" s="12"/>
      <c r="F77" s="12"/>
      <c r="G77" s="12"/>
      <c r="H77" s="12"/>
      <c r="I77" s="100"/>
      <c r="J77" s="147"/>
      <c r="K77" s="24" t="s">
        <v>54</v>
      </c>
      <c r="L77" s="25"/>
      <c r="M77" s="13"/>
      <c r="N77" s="13"/>
      <c r="O77" s="13"/>
      <c r="P77" s="12"/>
      <c r="Q77" s="105">
        <v>-150000</v>
      </c>
      <c r="R77"/>
      <c r="S77"/>
      <c r="T77"/>
      <c r="U77"/>
      <c r="V77"/>
      <c r="W77"/>
      <c r="X77"/>
    </row>
    <row r="78" spans="1:24" ht="12.75" hidden="1">
      <c r="A78" s="9"/>
      <c r="B78" s="10"/>
      <c r="C78" s="18"/>
      <c r="D78" s="22"/>
      <c r="E78" s="12"/>
      <c r="F78" s="12"/>
      <c r="G78" s="12"/>
      <c r="H78" s="12"/>
      <c r="I78" s="100"/>
      <c r="J78" s="147"/>
      <c r="K78" s="24" t="s">
        <v>51</v>
      </c>
      <c r="L78" s="25"/>
      <c r="M78" s="13"/>
      <c r="N78" s="13"/>
      <c r="O78" s="13"/>
      <c r="P78" s="12">
        <f>L78+M78</f>
        <v>0</v>
      </c>
      <c r="Q78" s="105"/>
      <c r="R78"/>
      <c r="S78"/>
      <c r="T78"/>
      <c r="U78"/>
      <c r="V78"/>
      <c r="W78"/>
      <c r="X78"/>
    </row>
    <row r="79" spans="1:24" ht="13.5" thickBot="1">
      <c r="A79" s="36"/>
      <c r="B79" s="37"/>
      <c r="C79" s="38"/>
      <c r="D79" s="39">
        <f>SUM(D63:D78)</f>
        <v>0</v>
      </c>
      <c r="E79" s="40">
        <f>SUM(E63:E78)</f>
        <v>0</v>
      </c>
      <c r="F79" s="40"/>
      <c r="G79" s="40"/>
      <c r="H79" s="41">
        <f>D79+E79</f>
        <v>0</v>
      </c>
      <c r="I79" s="130">
        <f>SUM(I63:I78)</f>
        <v>0</v>
      </c>
      <c r="J79" s="155"/>
      <c r="K79" s="124"/>
      <c r="L79" s="39">
        <f>SUM(L63:L78)</f>
        <v>60539</v>
      </c>
      <c r="M79" s="40">
        <f>SUM(M63:M78)</f>
        <v>0</v>
      </c>
      <c r="N79" s="40"/>
      <c r="O79" s="40"/>
      <c r="P79" s="41">
        <f>L79+M79</f>
        <v>60539</v>
      </c>
      <c r="Q79" s="136">
        <f>SUM(Q63:Q78)</f>
        <v>25304659.77</v>
      </c>
      <c r="R79"/>
      <c r="S79"/>
      <c r="T79"/>
      <c r="U79"/>
      <c r="V79"/>
      <c r="W79"/>
      <c r="X79"/>
    </row>
    <row r="80" spans="1:19" ht="14.25" thickBot="1" thickTop="1">
      <c r="A80" s="128" t="s">
        <v>78</v>
      </c>
      <c r="B80" s="42"/>
      <c r="C80" s="43"/>
      <c r="D80" s="44">
        <f>SUM(D3:D79)/2</f>
        <v>64406</v>
      </c>
      <c r="E80" s="45">
        <f>SUM(E3:E79)/2</f>
        <v>2.842170943040401E-14</v>
      </c>
      <c r="F80" s="45"/>
      <c r="G80" s="45"/>
      <c r="H80" s="45">
        <f>SUM(H3:H79)/2</f>
        <v>64406</v>
      </c>
      <c r="I80" s="131">
        <f>SUM(I3:I79)/2</f>
        <v>30271027.919999994</v>
      </c>
      <c r="J80" s="156"/>
      <c r="K80" s="46" t="s">
        <v>79</v>
      </c>
      <c r="L80" s="44">
        <f>SUM(L3:L79)/2</f>
        <v>64406</v>
      </c>
      <c r="M80" s="45">
        <f>SUM(M3:M79)/2</f>
        <v>0</v>
      </c>
      <c r="N80" s="45"/>
      <c r="O80" s="45"/>
      <c r="P80" s="45">
        <f>SUM(P3:P79)/2</f>
        <v>64406</v>
      </c>
      <c r="Q80" s="137">
        <f>SUM(Q3:Q79)/2</f>
        <v>28260856.61</v>
      </c>
      <c r="R80" s="160"/>
      <c r="S80" s="160"/>
    </row>
    <row r="81" spans="11:19" ht="14.25" thickBot="1" thickTop="1">
      <c r="K81" s="125" t="s">
        <v>77</v>
      </c>
      <c r="L81" s="115">
        <f>L80-D80</f>
        <v>0</v>
      </c>
      <c r="M81" s="115">
        <f>M80-E80</f>
        <v>-2.842170943040401E-14</v>
      </c>
      <c r="N81" s="116">
        <f>N80-I80</f>
        <v>-30271027.919999994</v>
      </c>
      <c r="O81" s="108"/>
      <c r="P81" s="115">
        <f>P80-H80</f>
        <v>0</v>
      </c>
      <c r="Q81" s="138">
        <f>Q80-I80</f>
        <v>-2010171.309999995</v>
      </c>
      <c r="R81" s="161"/>
      <c r="S81" s="161"/>
    </row>
    <row r="82" spans="1:21" ht="35.25" thickBot="1" thickTop="1">
      <c r="A82" s="50" t="s">
        <v>87</v>
      </c>
      <c r="B82" s="50"/>
      <c r="C82" s="90"/>
      <c r="Q82" s="86"/>
      <c r="R82" s="47" t="s">
        <v>83</v>
      </c>
      <c r="S82" s="48" t="s">
        <v>84</v>
      </c>
      <c r="T82" s="162" t="s">
        <v>85</v>
      </c>
      <c r="U82" s="49" t="s">
        <v>86</v>
      </c>
    </row>
    <row r="83" spans="1:21" ht="13.5" thickTop="1">
      <c r="A83" s="55" t="s">
        <v>88</v>
      </c>
      <c r="B83" s="77" t="s">
        <v>114</v>
      </c>
      <c r="C83" s="78" t="s">
        <v>6</v>
      </c>
      <c r="D83" s="56"/>
      <c r="E83" s="101">
        <v>219.6</v>
      </c>
      <c r="F83" s="101"/>
      <c r="G83" s="101"/>
      <c r="H83" s="76">
        <f aca="true" t="shared" si="10" ref="H83:H96">D83+E83</f>
        <v>219.6</v>
      </c>
      <c r="I83" s="102">
        <f>436654-217034</f>
        <v>219620</v>
      </c>
      <c r="J83" s="157" t="s">
        <v>168</v>
      </c>
      <c r="K83" s="126"/>
      <c r="L83" s="57"/>
      <c r="M83" s="58"/>
      <c r="N83" s="58"/>
      <c r="O83" s="58"/>
      <c r="P83" s="76">
        <f aca="true" t="shared" si="11" ref="P83:P96">L83+M83</f>
        <v>0</v>
      </c>
      <c r="Q83" s="139"/>
      <c r="R83" s="51">
        <f>219620-I83</f>
        <v>0</v>
      </c>
      <c r="S83" s="52"/>
      <c r="T83" s="163">
        <f>-I83-R83</f>
        <v>-219620</v>
      </c>
      <c r="U83" s="53"/>
    </row>
    <row r="84" spans="1:21" ht="12.75">
      <c r="A84" s="54" t="s">
        <v>109</v>
      </c>
      <c r="B84" s="88" t="s">
        <v>114</v>
      </c>
      <c r="C84" s="89" t="s">
        <v>6</v>
      </c>
      <c r="D84" s="30"/>
      <c r="E84" s="31">
        <f>6/6*600</f>
        <v>600</v>
      </c>
      <c r="F84" s="31"/>
      <c r="G84" s="31"/>
      <c r="H84" s="12">
        <f t="shared" si="10"/>
        <v>600</v>
      </c>
      <c r="I84" s="97">
        <f>436654-90/90*219620+6/6*20002</f>
        <v>237036</v>
      </c>
      <c r="J84" s="149" t="s">
        <v>100</v>
      </c>
      <c r="K84" s="122"/>
      <c r="L84" s="25"/>
      <c r="M84" s="13">
        <f>6/6*600</f>
        <v>600</v>
      </c>
      <c r="N84" s="13"/>
      <c r="O84" s="13"/>
      <c r="P84" s="12">
        <f>L84+M84</f>
        <v>600</v>
      </c>
      <c r="Q84" s="140"/>
      <c r="R84" s="73">
        <f>Q84-I84</f>
        <v>-237036</v>
      </c>
      <c r="S84" s="87"/>
      <c r="T84" s="163"/>
      <c r="U84" s="53"/>
    </row>
    <row r="85" spans="1:21" ht="12.75">
      <c r="A85" s="54" t="s">
        <v>88</v>
      </c>
      <c r="B85" s="10" t="s">
        <v>115</v>
      </c>
      <c r="C85" s="18" t="s">
        <v>128</v>
      </c>
      <c r="D85" s="20"/>
      <c r="E85" s="11">
        <f>8846/8846*16.5+8887/8887*51.7</f>
        <v>68.2</v>
      </c>
      <c r="F85" s="11"/>
      <c r="G85" s="11"/>
      <c r="H85" s="12">
        <f t="shared" si="10"/>
        <v>68.2</v>
      </c>
      <c r="I85" s="97">
        <f>8846/8846*(71424*0+90/90*16499.4)+8887/8887*90/90*24968.7+3600*3/3*0</f>
        <v>41468.100000000006</v>
      </c>
      <c r="J85" s="147" t="s">
        <v>169</v>
      </c>
      <c r="K85" s="122"/>
      <c r="L85" s="25"/>
      <c r="M85" s="13"/>
      <c r="N85" s="13"/>
      <c r="O85" s="13"/>
      <c r="P85" s="12">
        <f t="shared" si="11"/>
        <v>0</v>
      </c>
      <c r="Q85" s="105"/>
      <c r="R85" s="73">
        <f>(8846/8846*(500000-483500.6)+8887/8887*(725000-673266.2)+0)-I85</f>
        <v>26765.100000000064</v>
      </c>
      <c r="S85" s="164"/>
      <c r="T85" s="163">
        <f>-I85-R85</f>
        <v>-68233.20000000007</v>
      </c>
      <c r="U85" s="53"/>
    </row>
    <row r="86" spans="1:21" ht="12.75">
      <c r="A86" s="54" t="s">
        <v>88</v>
      </c>
      <c r="B86" s="10" t="s">
        <v>118</v>
      </c>
      <c r="C86" s="18" t="s">
        <v>10</v>
      </c>
      <c r="D86" s="20"/>
      <c r="E86" s="11">
        <f>90/90*97.6+84/84*900*0</f>
        <v>97.6</v>
      </c>
      <c r="F86" s="12"/>
      <c r="G86" s="12"/>
      <c r="H86" s="12">
        <f t="shared" si="10"/>
        <v>97.6</v>
      </c>
      <c r="I86" s="100"/>
      <c r="J86" s="147" t="s">
        <v>170</v>
      </c>
      <c r="K86" s="122"/>
      <c r="L86" s="25"/>
      <c r="M86" s="13"/>
      <c r="N86" s="13"/>
      <c r="O86" s="13"/>
      <c r="P86" s="12">
        <f t="shared" si="11"/>
        <v>0</v>
      </c>
      <c r="Q86" s="105"/>
      <c r="R86" s="73">
        <f>8415/8415*97615.05-I86</f>
        <v>97615.05</v>
      </c>
      <c r="S86" s="164"/>
      <c r="T86" s="163">
        <f>-I86-R86</f>
        <v>-97615.05</v>
      </c>
      <c r="U86" s="53"/>
    </row>
    <row r="87" spans="1:21" ht="12.75">
      <c r="A87" s="54" t="s">
        <v>109</v>
      </c>
      <c r="B87" s="10" t="s">
        <v>118</v>
      </c>
      <c r="C87" s="18" t="s">
        <v>10</v>
      </c>
      <c r="D87" s="20"/>
      <c r="E87" s="11">
        <f>90/90*97.6*0+84/84*900</f>
        <v>900</v>
      </c>
      <c r="F87" s="12"/>
      <c r="G87" s="12"/>
      <c r="H87" s="12">
        <f>D87+E87</f>
        <v>900</v>
      </c>
      <c r="I87" s="100"/>
      <c r="J87" s="149" t="s">
        <v>100</v>
      </c>
      <c r="K87" s="122"/>
      <c r="L87" s="25"/>
      <c r="M87" s="13">
        <v>900</v>
      </c>
      <c r="N87" s="13"/>
      <c r="O87" s="13"/>
      <c r="P87" s="12">
        <f t="shared" si="11"/>
        <v>900</v>
      </c>
      <c r="Q87" s="105">
        <f>6/6*300000</f>
        <v>300000</v>
      </c>
      <c r="R87" s="73">
        <f>Q87-I87</f>
        <v>300000</v>
      </c>
      <c r="S87" s="164"/>
      <c r="T87" s="163"/>
      <c r="U87" s="53"/>
    </row>
    <row r="88" spans="1:21" ht="12.75">
      <c r="A88" s="54" t="s">
        <v>88</v>
      </c>
      <c r="B88" s="10" t="s">
        <v>124</v>
      </c>
      <c r="C88" s="18" t="s">
        <v>105</v>
      </c>
      <c r="D88" s="20"/>
      <c r="E88" s="11">
        <f>90/90*242.4</f>
        <v>242.4</v>
      </c>
      <c r="F88" s="11"/>
      <c r="G88" s="11"/>
      <c r="H88" s="12">
        <f t="shared" si="10"/>
        <v>242.4</v>
      </c>
      <c r="I88" s="100">
        <f>(107100+355872.2)*0+3/3*(13400+8233/8233*178500+8290/8290*355072.2)*0+4/4*(355072.2-16/16*112699.6)</f>
        <v>242372.6</v>
      </c>
      <c r="J88" s="149" t="s">
        <v>101</v>
      </c>
      <c r="K88" s="122"/>
      <c r="L88" s="25"/>
      <c r="M88" s="13"/>
      <c r="N88" s="13"/>
      <c r="O88" s="13"/>
      <c r="P88" s="12">
        <f t="shared" si="11"/>
        <v>0</v>
      </c>
      <c r="Q88" s="105"/>
      <c r="R88" s="73">
        <f>8829/8829*242372.6-I88</f>
        <v>0</v>
      </c>
      <c r="S88" s="164"/>
      <c r="T88" s="163">
        <f>-I88-R88</f>
        <v>-242372.6</v>
      </c>
      <c r="U88" s="53"/>
    </row>
    <row r="89" spans="1:21" ht="12.75">
      <c r="A89" s="54" t="s">
        <v>88</v>
      </c>
      <c r="B89" s="10" t="s">
        <v>150</v>
      </c>
      <c r="C89" s="18" t="s">
        <v>106</v>
      </c>
      <c r="D89" s="20"/>
      <c r="E89" s="11">
        <f>90/90*90.1</f>
        <v>90.1</v>
      </c>
      <c r="F89" s="11"/>
      <c r="G89" s="11"/>
      <c r="H89" s="12">
        <f t="shared" si="10"/>
        <v>90.1</v>
      </c>
      <c r="I89" s="103">
        <f>147553-16/16*57461</f>
        <v>90092</v>
      </c>
      <c r="J89" s="149" t="s">
        <v>101</v>
      </c>
      <c r="K89" s="122"/>
      <c r="L89" s="25"/>
      <c r="M89" s="13"/>
      <c r="N89" s="13"/>
      <c r="O89" s="13"/>
      <c r="P89" s="12">
        <f t="shared" si="11"/>
        <v>0</v>
      </c>
      <c r="Q89" s="141"/>
      <c r="R89" s="73">
        <f>8895/8895*90092-I89</f>
        <v>0</v>
      </c>
      <c r="S89" s="164"/>
      <c r="T89" s="163">
        <f>-I89-R89</f>
        <v>-90092</v>
      </c>
      <c r="U89" s="53"/>
    </row>
    <row r="90" spans="1:21" ht="12.75">
      <c r="A90" s="54" t="s">
        <v>109</v>
      </c>
      <c r="B90" s="28" t="s">
        <v>116</v>
      </c>
      <c r="C90" s="29" t="s">
        <v>153</v>
      </c>
      <c r="D90" s="30"/>
      <c r="E90" s="31">
        <v>195.1</v>
      </c>
      <c r="F90" s="31"/>
      <c r="G90" s="31"/>
      <c r="H90" s="32">
        <f>D90+E90</f>
        <v>195.1</v>
      </c>
      <c r="I90" s="100"/>
      <c r="J90" s="149" t="s">
        <v>100</v>
      </c>
      <c r="K90" s="121"/>
      <c r="L90" s="33"/>
      <c r="M90" s="31">
        <v>195.1</v>
      </c>
      <c r="N90" s="31"/>
      <c r="O90" s="31"/>
      <c r="P90" s="32">
        <f>L90+M90</f>
        <v>195.1</v>
      </c>
      <c r="Q90" s="106">
        <f>3/3*195100</f>
        <v>195100</v>
      </c>
      <c r="R90" s="73">
        <f>Q90-I90</f>
        <v>195100</v>
      </c>
      <c r="S90" s="164"/>
      <c r="T90" s="163"/>
      <c r="U90" s="53"/>
    </row>
    <row r="91" spans="1:21" ht="12.75">
      <c r="A91" s="54" t="s">
        <v>99</v>
      </c>
      <c r="B91" s="10" t="s">
        <v>117</v>
      </c>
      <c r="C91" s="18" t="s">
        <v>5</v>
      </c>
      <c r="D91" s="20"/>
      <c r="E91" s="11">
        <v>3300</v>
      </c>
      <c r="F91" s="11"/>
      <c r="G91" s="11"/>
      <c r="H91" s="12">
        <f t="shared" si="10"/>
        <v>3300</v>
      </c>
      <c r="I91" s="97">
        <f>825000*0+4/4*1025000*0+5/5*1375000</f>
        <v>1375000</v>
      </c>
      <c r="J91" s="148"/>
      <c r="K91" s="122"/>
      <c r="L91" s="25"/>
      <c r="M91" s="11">
        <v>3300</v>
      </c>
      <c r="N91" s="11"/>
      <c r="O91" s="11"/>
      <c r="P91" s="12">
        <f t="shared" si="11"/>
        <v>3300</v>
      </c>
      <c r="Q91" s="106">
        <v>3300000</v>
      </c>
      <c r="R91" s="73">
        <f>Q91-I91</f>
        <v>1925000</v>
      </c>
      <c r="S91" s="164"/>
      <c r="T91" s="163"/>
      <c r="U91" s="53"/>
    </row>
    <row r="92" spans="1:21" ht="12.75">
      <c r="A92" s="54" t="s">
        <v>99</v>
      </c>
      <c r="B92" s="8" t="s">
        <v>123</v>
      </c>
      <c r="C92" s="18" t="s">
        <v>17</v>
      </c>
      <c r="D92" s="20"/>
      <c r="E92" s="11">
        <v>70</v>
      </c>
      <c r="F92" s="11"/>
      <c r="G92" s="11"/>
      <c r="H92" s="12">
        <f t="shared" si="10"/>
        <v>70</v>
      </c>
      <c r="I92" s="99">
        <f>2000*0+3/3*2550*0+4/4*4850*0+5/5*8650*0+6/6*10350</f>
        <v>10350</v>
      </c>
      <c r="J92" s="149" t="s">
        <v>100</v>
      </c>
      <c r="K92" s="23" t="s">
        <v>76</v>
      </c>
      <c r="L92" s="25"/>
      <c r="M92" s="11">
        <v>70</v>
      </c>
      <c r="N92" s="11"/>
      <c r="O92" s="11"/>
      <c r="P92" s="12">
        <f t="shared" si="11"/>
        <v>70</v>
      </c>
      <c r="Q92" s="106">
        <f>3/3*70000</f>
        <v>70000</v>
      </c>
      <c r="R92" s="73">
        <f aca="true" t="shared" si="12" ref="R92:R112">Q92-I92</f>
        <v>59650</v>
      </c>
      <c r="S92" s="164"/>
      <c r="T92" s="165"/>
      <c r="U92" s="53"/>
    </row>
    <row r="93" spans="1:21" ht="12.75">
      <c r="A93" s="54" t="s">
        <v>102</v>
      </c>
      <c r="B93" s="16" t="s">
        <v>18</v>
      </c>
      <c r="C93" s="18" t="s">
        <v>19</v>
      </c>
      <c r="D93" s="20"/>
      <c r="E93" s="11">
        <f>11983.5*0+6/6*21413.5-E94</f>
        <v>11983.5</v>
      </c>
      <c r="F93" s="11"/>
      <c r="G93" s="11"/>
      <c r="H93" s="12">
        <f t="shared" si="10"/>
        <v>11983.5</v>
      </c>
      <c r="I93" s="99">
        <f>71/71*(2/2)*(20931*0+33464*0+3/3*80850*0+4/4*124879)+73/73*(10000*0+2/2*(46220*0+47860)*0+3/3*67006*0+4/4*102007)+79/79*(52057*0+2/2*(87937*0+93927)*0+3/3*129773*0+4/4*143535)+81/81*(2/2*-1500*0+3/3*0)+82/82*(7160*0+2/2*150120*0+3/3*158971*0+4/4*165731)+3/3*(600*0+2/2*1200*0+3/3*1800*0+4/4*2400)+4/4*(50000*0+2/2*145000*0+3/3*145000)+5/5*(660398*0+2/2*1130529*0+3/3*1645867*0+4/4*1885811)+6/6*(6500*0+2/2*32500*0+3/3*71500*0+4/4*77466)-1/1*786715*0-2/2*1633100*0-3/3*2300767*0-4/4*2646829+5/5*2874139*0+6/6*(9932826-I94)</f>
        <v>3329826</v>
      </c>
      <c r="J93" s="149">
        <f>I93/(H93*1000)</f>
        <v>0.2778675679058706</v>
      </c>
      <c r="K93" s="23" t="s">
        <v>52</v>
      </c>
      <c r="L93" s="25"/>
      <c r="M93" s="11">
        <v>11983.5</v>
      </c>
      <c r="N93" s="11"/>
      <c r="O93" s="11"/>
      <c r="P93" s="12">
        <f t="shared" si="11"/>
        <v>11983.5</v>
      </c>
      <c r="Q93" s="106">
        <f>3640000+5/5*400000</f>
        <v>4040000</v>
      </c>
      <c r="R93" s="73">
        <f t="shared" si="12"/>
        <v>710174</v>
      </c>
      <c r="S93" s="164"/>
      <c r="T93" s="165"/>
      <c r="U93" s="53"/>
    </row>
    <row r="94" spans="1:21" ht="12.75">
      <c r="A94" s="54" t="s">
        <v>103</v>
      </c>
      <c r="B94" s="16">
        <v>4195</v>
      </c>
      <c r="C94" s="18" t="s">
        <v>1</v>
      </c>
      <c r="D94" s="20"/>
      <c r="E94" s="11">
        <f>7075+6/6*2355</f>
        <v>9430</v>
      </c>
      <c r="F94" s="11"/>
      <c r="G94" s="11"/>
      <c r="H94" s="12">
        <f t="shared" si="10"/>
        <v>9430</v>
      </c>
      <c r="I94" s="99">
        <f>2/2*1950000*0+3/3*3125000*0+4/4*4278000*0+5/5*5512000*0+6/6*6603000</f>
        <v>6603000</v>
      </c>
      <c r="J94" s="149">
        <f>I94/(H94*1000)</f>
        <v>0.7002120890774125</v>
      </c>
      <c r="K94" s="23" t="s">
        <v>53</v>
      </c>
      <c r="L94" s="25"/>
      <c r="M94" s="11">
        <f>7075+2355</f>
        <v>9430</v>
      </c>
      <c r="N94" s="11"/>
      <c r="O94" s="11"/>
      <c r="P94" s="12">
        <f t="shared" si="11"/>
        <v>9430</v>
      </c>
      <c r="Q94" s="106">
        <f>2011320+3/3*1093000+4/4*1350000+5/5*1077680+6/6*1348000</f>
        <v>6880000</v>
      </c>
      <c r="R94" s="73">
        <f t="shared" si="12"/>
        <v>277000</v>
      </c>
      <c r="S94" s="164"/>
      <c r="T94" s="165"/>
      <c r="U94" s="53"/>
    </row>
    <row r="95" spans="1:21" ht="12.75">
      <c r="A95" s="54" t="s">
        <v>99</v>
      </c>
      <c r="B95" s="10" t="s">
        <v>119</v>
      </c>
      <c r="C95" s="18" t="s">
        <v>14</v>
      </c>
      <c r="D95" s="20"/>
      <c r="E95" s="11">
        <v>70</v>
      </c>
      <c r="F95" s="11"/>
      <c r="G95" s="11"/>
      <c r="H95" s="12">
        <f t="shared" si="10"/>
        <v>70</v>
      </c>
      <c r="I95" s="100">
        <f>4/4*70000</f>
        <v>70000</v>
      </c>
      <c r="J95" s="149" t="s">
        <v>100</v>
      </c>
      <c r="K95" s="122"/>
      <c r="L95" s="25"/>
      <c r="M95" s="11">
        <v>70</v>
      </c>
      <c r="N95" s="11"/>
      <c r="O95" s="11"/>
      <c r="P95" s="12">
        <f t="shared" si="11"/>
        <v>70</v>
      </c>
      <c r="Q95" s="106">
        <f>3/3*70000</f>
        <v>70000</v>
      </c>
      <c r="R95" s="73">
        <f t="shared" si="12"/>
        <v>0</v>
      </c>
      <c r="S95" s="164"/>
      <c r="T95" s="165"/>
      <c r="U95" s="53"/>
    </row>
    <row r="96" spans="1:21" ht="12.75">
      <c r="A96" s="54" t="s">
        <v>111</v>
      </c>
      <c r="B96" s="10">
        <v>6171</v>
      </c>
      <c r="C96" s="18" t="s">
        <v>108</v>
      </c>
      <c r="D96" s="20"/>
      <c r="E96" s="11">
        <f>278+5/5*340</f>
        <v>618</v>
      </c>
      <c r="F96" s="11"/>
      <c r="G96" s="11"/>
      <c r="H96" s="12">
        <f t="shared" si="10"/>
        <v>618</v>
      </c>
      <c r="I96" s="100">
        <f>6/6*617962</f>
        <v>617962</v>
      </c>
      <c r="J96" s="148" t="s">
        <v>104</v>
      </c>
      <c r="K96" s="122"/>
      <c r="L96" s="25"/>
      <c r="M96" s="11">
        <f>278+5/5*340</f>
        <v>618</v>
      </c>
      <c r="N96" s="11"/>
      <c r="O96" s="11"/>
      <c r="P96" s="12">
        <f t="shared" si="11"/>
        <v>618</v>
      </c>
      <c r="Q96" s="105">
        <f>278000*0+3/3*202150*0+5/5*339962*0+6/6*957924</f>
        <v>957924</v>
      </c>
      <c r="R96" s="73">
        <f t="shared" si="12"/>
        <v>339962</v>
      </c>
      <c r="S96" s="164"/>
      <c r="T96" s="165"/>
      <c r="U96" s="53"/>
    </row>
    <row r="97" spans="1:21" ht="12.75">
      <c r="A97" s="54" t="s">
        <v>112</v>
      </c>
      <c r="B97" s="10">
        <v>6171</v>
      </c>
      <c r="C97" s="18" t="s">
        <v>107</v>
      </c>
      <c r="D97" s="20"/>
      <c r="E97" s="11">
        <f>202.1</f>
        <v>202.1</v>
      </c>
      <c r="F97" s="11"/>
      <c r="G97" s="11"/>
      <c r="H97" s="12">
        <f aca="true" t="shared" si="13" ref="H97:H103">D97+E97</f>
        <v>202.1</v>
      </c>
      <c r="I97" s="100">
        <f>6/6*202150</f>
        <v>202150</v>
      </c>
      <c r="J97" s="148" t="s">
        <v>104</v>
      </c>
      <c r="K97" s="122"/>
      <c r="L97" s="25"/>
      <c r="M97" s="11">
        <f>4/4*98116/98116*202.1</f>
        <v>202.1</v>
      </c>
      <c r="N97" s="11"/>
      <c r="O97" s="11"/>
      <c r="P97" s="12">
        <f aca="true" t="shared" si="14" ref="P97:P103">L97+M97</f>
        <v>202.1</v>
      </c>
      <c r="Q97" s="105">
        <f>278000*0+3/3*202150</f>
        <v>202150</v>
      </c>
      <c r="R97" s="73">
        <f t="shared" si="12"/>
        <v>0</v>
      </c>
      <c r="S97" s="164"/>
      <c r="T97" s="165"/>
      <c r="U97" s="53"/>
    </row>
    <row r="98" spans="1:21" ht="12.75">
      <c r="A98" s="54" t="s">
        <v>109</v>
      </c>
      <c r="B98" s="10" t="s">
        <v>119</v>
      </c>
      <c r="C98" s="18" t="s">
        <v>160</v>
      </c>
      <c r="D98" s="20"/>
      <c r="E98" s="11">
        <f>4/4*7599/7599*2900</f>
        <v>2900</v>
      </c>
      <c r="F98" s="11"/>
      <c r="G98" s="11"/>
      <c r="H98" s="12">
        <f t="shared" si="13"/>
        <v>2900</v>
      </c>
      <c r="I98" s="100">
        <f>4/4*0+6/6*30000</f>
        <v>30000</v>
      </c>
      <c r="J98" s="149" t="s">
        <v>100</v>
      </c>
      <c r="K98" s="122"/>
      <c r="L98" s="25"/>
      <c r="M98" s="11">
        <f>4/4*7599/7599*2900</f>
        <v>2900</v>
      </c>
      <c r="N98" s="11"/>
      <c r="O98" s="11"/>
      <c r="P98" s="12">
        <f t="shared" si="14"/>
        <v>2900</v>
      </c>
      <c r="Q98" s="105">
        <f>6/6*100000</f>
        <v>100000</v>
      </c>
      <c r="R98" s="73">
        <f t="shared" si="12"/>
        <v>70000</v>
      </c>
      <c r="S98" s="164"/>
      <c r="T98" s="165"/>
      <c r="U98" s="53"/>
    </row>
    <row r="99" spans="1:21" ht="12.75">
      <c r="A99" s="54" t="s">
        <v>109</v>
      </c>
      <c r="B99" s="10" t="s">
        <v>120</v>
      </c>
      <c r="C99" s="18" t="s">
        <v>161</v>
      </c>
      <c r="D99" s="20"/>
      <c r="E99" s="11">
        <f>4/4*8425/8425*3000</f>
        <v>3000</v>
      </c>
      <c r="F99" s="11"/>
      <c r="G99" s="11"/>
      <c r="H99" s="12">
        <f t="shared" si="13"/>
        <v>3000</v>
      </c>
      <c r="I99" s="100">
        <f>4/4*0</f>
        <v>0</v>
      </c>
      <c r="J99" s="149" t="s">
        <v>100</v>
      </c>
      <c r="K99" s="122"/>
      <c r="L99" s="25"/>
      <c r="M99" s="11">
        <f>4/4*8425/8425*3000</f>
        <v>3000</v>
      </c>
      <c r="N99" s="11"/>
      <c r="O99" s="11"/>
      <c r="P99" s="12">
        <f t="shared" si="14"/>
        <v>3000</v>
      </c>
      <c r="Q99" s="105">
        <f>6/6*1000000</f>
        <v>1000000</v>
      </c>
      <c r="R99" s="73">
        <f t="shared" si="12"/>
        <v>1000000</v>
      </c>
      <c r="S99" s="164"/>
      <c r="T99" s="165"/>
      <c r="U99" s="53"/>
    </row>
    <row r="100" spans="1:21" ht="12.75">
      <c r="A100" s="54" t="s">
        <v>99</v>
      </c>
      <c r="B100" s="10" t="s">
        <v>121</v>
      </c>
      <c r="C100" s="18" t="s">
        <v>122</v>
      </c>
      <c r="D100" s="20"/>
      <c r="E100" s="11">
        <f>4/4*81/81*383</f>
        <v>383</v>
      </c>
      <c r="F100" s="11"/>
      <c r="G100" s="11"/>
      <c r="H100" s="12">
        <f t="shared" si="13"/>
        <v>383</v>
      </c>
      <c r="I100" s="100">
        <f>4/4*0</f>
        <v>0</v>
      </c>
      <c r="J100" s="149" t="s">
        <v>100</v>
      </c>
      <c r="K100" s="122"/>
      <c r="L100" s="25"/>
      <c r="M100" s="11">
        <f>4/4*81/81*383</f>
        <v>383</v>
      </c>
      <c r="N100" s="11"/>
      <c r="O100" s="11"/>
      <c r="P100" s="12">
        <f t="shared" si="14"/>
        <v>383</v>
      </c>
      <c r="Q100" s="106">
        <f>4/4*383000</f>
        <v>383000</v>
      </c>
      <c r="R100" s="73">
        <f t="shared" si="12"/>
        <v>383000</v>
      </c>
      <c r="S100" s="164"/>
      <c r="T100" s="165"/>
      <c r="U100" s="53"/>
    </row>
    <row r="101" spans="1:21" ht="12.75">
      <c r="A101" s="54" t="s">
        <v>99</v>
      </c>
      <c r="B101" s="10" t="s">
        <v>125</v>
      </c>
      <c r="C101" s="18" t="s">
        <v>126</v>
      </c>
      <c r="D101" s="20"/>
      <c r="E101" s="11">
        <f>4/4*81/81*39.8</f>
        <v>39.8</v>
      </c>
      <c r="F101" s="11"/>
      <c r="G101" s="11"/>
      <c r="H101" s="12">
        <f t="shared" si="13"/>
        <v>39.8</v>
      </c>
      <c r="I101" s="100">
        <f>4/4*39800</f>
        <v>39800</v>
      </c>
      <c r="J101" s="149" t="s">
        <v>100</v>
      </c>
      <c r="K101" s="122"/>
      <c r="L101" s="25"/>
      <c r="M101" s="11">
        <f>4/4*39.8</f>
        <v>39.8</v>
      </c>
      <c r="N101" s="11"/>
      <c r="O101" s="11"/>
      <c r="P101" s="12">
        <f t="shared" si="14"/>
        <v>39.8</v>
      </c>
      <c r="Q101" s="105">
        <f>4/4*39800</f>
        <v>39800</v>
      </c>
      <c r="R101" s="73">
        <f t="shared" si="12"/>
        <v>0</v>
      </c>
      <c r="S101" s="164"/>
      <c r="T101" s="165"/>
      <c r="U101" s="53"/>
    </row>
    <row r="102" spans="1:21" ht="12.75">
      <c r="A102" s="54" t="s">
        <v>109</v>
      </c>
      <c r="B102" s="10" t="s">
        <v>124</v>
      </c>
      <c r="C102" s="18" t="s">
        <v>162</v>
      </c>
      <c r="D102" s="20"/>
      <c r="E102" s="11">
        <f>4/4*4387/4387*150</f>
        <v>150</v>
      </c>
      <c r="F102" s="11"/>
      <c r="G102" s="11"/>
      <c r="H102" s="12">
        <f t="shared" si="13"/>
        <v>150</v>
      </c>
      <c r="I102" s="100">
        <f>4/4*0</f>
        <v>0</v>
      </c>
      <c r="J102" s="149" t="s">
        <v>100</v>
      </c>
      <c r="K102" s="122"/>
      <c r="L102" s="25"/>
      <c r="M102" s="11">
        <f>4/4*4387/4387*150</f>
        <v>150</v>
      </c>
      <c r="N102" s="11"/>
      <c r="O102" s="11"/>
      <c r="P102" s="12">
        <f t="shared" si="14"/>
        <v>150</v>
      </c>
      <c r="Q102" s="105">
        <f>6/6*150000</f>
        <v>150000</v>
      </c>
      <c r="R102" s="73">
        <f t="shared" si="12"/>
        <v>150000</v>
      </c>
      <c r="S102" s="164"/>
      <c r="T102" s="165"/>
      <c r="U102" s="53"/>
    </row>
    <row r="103" spans="1:21" ht="12.75">
      <c r="A103" s="54" t="s">
        <v>109</v>
      </c>
      <c r="B103" s="10" t="s">
        <v>124</v>
      </c>
      <c r="C103" s="18" t="s">
        <v>163</v>
      </c>
      <c r="D103" s="20"/>
      <c r="E103" s="11">
        <f>4/4*8233/8233*6000</f>
        <v>6000</v>
      </c>
      <c r="F103" s="11"/>
      <c r="G103" s="11"/>
      <c r="H103" s="12">
        <f t="shared" si="13"/>
        <v>6000</v>
      </c>
      <c r="I103" s="100">
        <f>4/4*178500*0+6/6*505750</f>
        <v>505750</v>
      </c>
      <c r="J103" s="149" t="s">
        <v>100</v>
      </c>
      <c r="K103" s="122"/>
      <c r="L103" s="25"/>
      <c r="M103" s="11">
        <f>4/4*8233/8233*6000</f>
        <v>6000</v>
      </c>
      <c r="N103" s="11"/>
      <c r="O103" s="11"/>
      <c r="P103" s="12">
        <f t="shared" si="14"/>
        <v>6000</v>
      </c>
      <c r="Q103" s="105">
        <f>6/6*1000000</f>
        <v>1000000</v>
      </c>
      <c r="R103" s="73">
        <f t="shared" si="12"/>
        <v>494250</v>
      </c>
      <c r="S103" s="164"/>
      <c r="T103" s="165"/>
      <c r="U103" s="53"/>
    </row>
    <row r="104" spans="1:21" s="81" customFormat="1" ht="12.75">
      <c r="A104" s="54" t="s">
        <v>99</v>
      </c>
      <c r="B104" s="10" t="s">
        <v>130</v>
      </c>
      <c r="C104" s="18" t="s">
        <v>131</v>
      </c>
      <c r="D104" s="20"/>
      <c r="E104" s="11">
        <f>5/5*81/81*100</f>
        <v>100</v>
      </c>
      <c r="F104" s="11"/>
      <c r="G104" s="11"/>
      <c r="H104" s="12">
        <f aca="true" t="shared" si="15" ref="H104:H111">D104+E104</f>
        <v>100</v>
      </c>
      <c r="I104" s="100">
        <f>4/4*0</f>
        <v>0</v>
      </c>
      <c r="J104" s="149" t="s">
        <v>100</v>
      </c>
      <c r="K104" s="122"/>
      <c r="L104" s="25"/>
      <c r="M104" s="11">
        <f>5/5*81/81*100</f>
        <v>100</v>
      </c>
      <c r="N104" s="11"/>
      <c r="O104" s="11"/>
      <c r="P104" s="12">
        <f aca="true" t="shared" si="16" ref="P104:P112">L104+M104</f>
        <v>100</v>
      </c>
      <c r="Q104" s="106">
        <f>5/5*100000</f>
        <v>100000</v>
      </c>
      <c r="R104" s="73">
        <f t="shared" si="12"/>
        <v>100000</v>
      </c>
      <c r="S104" s="164"/>
      <c r="T104" s="165"/>
      <c r="U104" s="80"/>
    </row>
    <row r="105" spans="1:21" s="81" customFormat="1" ht="12.75">
      <c r="A105" s="54" t="s">
        <v>109</v>
      </c>
      <c r="B105" s="10" t="s">
        <v>130</v>
      </c>
      <c r="C105" s="18" t="s">
        <v>164</v>
      </c>
      <c r="D105" s="20"/>
      <c r="E105" s="11">
        <f>5/5*84/84*1000</f>
        <v>1000</v>
      </c>
      <c r="F105" s="11"/>
      <c r="G105" s="11"/>
      <c r="H105" s="12">
        <f t="shared" si="15"/>
        <v>1000</v>
      </c>
      <c r="I105" s="97">
        <f>4/4*0</f>
        <v>0</v>
      </c>
      <c r="J105" s="149" t="s">
        <v>100</v>
      </c>
      <c r="K105" s="122"/>
      <c r="L105" s="25"/>
      <c r="M105" s="11">
        <f>5/5*84/84*1000</f>
        <v>1000</v>
      </c>
      <c r="N105" s="11"/>
      <c r="O105" s="11"/>
      <c r="P105" s="12">
        <f t="shared" si="16"/>
        <v>1000</v>
      </c>
      <c r="Q105" s="105"/>
      <c r="R105" s="73">
        <f t="shared" si="12"/>
        <v>0</v>
      </c>
      <c r="S105" s="164"/>
      <c r="T105" s="165"/>
      <c r="U105" s="80"/>
    </row>
    <row r="106" spans="1:21" s="81" customFormat="1" ht="12.75">
      <c r="A106" s="54" t="s">
        <v>109</v>
      </c>
      <c r="B106" s="10" t="s">
        <v>130</v>
      </c>
      <c r="C106" s="18" t="s">
        <v>165</v>
      </c>
      <c r="D106" s="20"/>
      <c r="E106" s="11">
        <f>6/6*84/84*450</f>
        <v>450</v>
      </c>
      <c r="F106" s="11"/>
      <c r="G106" s="11"/>
      <c r="H106" s="12">
        <f t="shared" si="15"/>
        <v>450</v>
      </c>
      <c r="I106" s="97">
        <f>4/4*0</f>
        <v>0</v>
      </c>
      <c r="J106" s="149" t="s">
        <v>100</v>
      </c>
      <c r="K106" s="122"/>
      <c r="L106" s="25"/>
      <c r="M106" s="13">
        <f>6/6*450</f>
        <v>450</v>
      </c>
      <c r="N106" s="13"/>
      <c r="O106" s="13"/>
      <c r="P106" s="12">
        <f t="shared" si="16"/>
        <v>450</v>
      </c>
      <c r="Q106" s="105"/>
      <c r="R106" s="73">
        <f t="shared" si="12"/>
        <v>0</v>
      </c>
      <c r="S106" s="164"/>
      <c r="T106" s="165"/>
      <c r="U106" s="80"/>
    </row>
    <row r="107" spans="1:21" s="81" customFormat="1" ht="12.75">
      <c r="A107" s="54" t="s">
        <v>109</v>
      </c>
      <c r="B107" s="10" t="s">
        <v>132</v>
      </c>
      <c r="C107" s="18" t="s">
        <v>133</v>
      </c>
      <c r="D107" s="20"/>
      <c r="E107" s="11">
        <f>5/5*84/84*2000</f>
        <v>2000</v>
      </c>
      <c r="F107" s="11"/>
      <c r="G107" s="11"/>
      <c r="H107" s="12">
        <f t="shared" si="15"/>
        <v>2000</v>
      </c>
      <c r="I107" s="100">
        <f>4/4*0</f>
        <v>0</v>
      </c>
      <c r="J107" s="149" t="s">
        <v>100</v>
      </c>
      <c r="K107" s="122"/>
      <c r="L107" s="25"/>
      <c r="M107" s="11">
        <f>5/5*84/84*2000</f>
        <v>2000</v>
      </c>
      <c r="N107" s="11"/>
      <c r="O107" s="11"/>
      <c r="P107" s="12">
        <f t="shared" si="16"/>
        <v>2000</v>
      </c>
      <c r="Q107" s="105">
        <f>6/6*2000000</f>
        <v>2000000</v>
      </c>
      <c r="R107" s="73">
        <f t="shared" si="12"/>
        <v>2000000</v>
      </c>
      <c r="S107" s="164"/>
      <c r="T107" s="165"/>
      <c r="U107" s="80"/>
    </row>
    <row r="108" spans="1:21" s="81" customFormat="1" ht="12.75">
      <c r="A108" s="54" t="s">
        <v>136</v>
      </c>
      <c r="B108" s="10" t="s">
        <v>134</v>
      </c>
      <c r="C108" s="18" t="s">
        <v>135</v>
      </c>
      <c r="D108" s="20"/>
      <c r="E108" s="11">
        <f>5/5*98031/98031*68.8</f>
        <v>68.8</v>
      </c>
      <c r="F108" s="11"/>
      <c r="G108" s="11"/>
      <c r="H108" s="12">
        <f t="shared" si="15"/>
        <v>68.8</v>
      </c>
      <c r="I108" s="100">
        <f>4/4*0+6/6*83790</f>
        <v>83790</v>
      </c>
      <c r="J108" s="149" t="s">
        <v>104</v>
      </c>
      <c r="K108" s="122"/>
      <c r="L108" s="25"/>
      <c r="M108" s="11">
        <f>5/5*98031/98031*68.8</f>
        <v>68.8</v>
      </c>
      <c r="N108" s="11"/>
      <c r="O108" s="11"/>
      <c r="P108" s="12">
        <f t="shared" si="16"/>
        <v>68.8</v>
      </c>
      <c r="Q108" s="105">
        <f>5/5*68800*0+6/6*137600</f>
        <v>137600</v>
      </c>
      <c r="R108" s="73">
        <f t="shared" si="12"/>
        <v>53810</v>
      </c>
      <c r="S108" s="164"/>
      <c r="T108" s="165"/>
      <c r="U108" s="80"/>
    </row>
    <row r="109" spans="1:21" s="81" customFormat="1" ht="12.75">
      <c r="A109" s="54" t="s">
        <v>99</v>
      </c>
      <c r="B109" s="10" t="s">
        <v>134</v>
      </c>
      <c r="C109" s="18" t="s">
        <v>137</v>
      </c>
      <c r="D109" s="20"/>
      <c r="E109" s="11">
        <f>5/5*81/81*160</f>
        <v>160</v>
      </c>
      <c r="F109" s="11"/>
      <c r="G109" s="11"/>
      <c r="H109" s="12">
        <f t="shared" si="15"/>
        <v>160</v>
      </c>
      <c r="I109" s="100">
        <f>4/4*0+6/6*17030</f>
        <v>17030</v>
      </c>
      <c r="J109" s="149" t="s">
        <v>100</v>
      </c>
      <c r="K109" s="122"/>
      <c r="L109" s="25"/>
      <c r="M109" s="11">
        <f>5/5*81/81*160</f>
        <v>160</v>
      </c>
      <c r="N109" s="11"/>
      <c r="O109" s="11"/>
      <c r="P109" s="12">
        <f t="shared" si="16"/>
        <v>160</v>
      </c>
      <c r="Q109" s="105">
        <f>5/5*160000</f>
        <v>160000</v>
      </c>
      <c r="R109" s="73">
        <f t="shared" si="12"/>
        <v>142970</v>
      </c>
      <c r="S109" s="164"/>
      <c r="T109" s="165"/>
      <c r="U109" s="80"/>
    </row>
    <row r="110" spans="1:21" s="86" customFormat="1" ht="12.75">
      <c r="A110" s="54" t="s">
        <v>99</v>
      </c>
      <c r="B110" s="10" t="s">
        <v>144</v>
      </c>
      <c r="C110" s="18" t="s">
        <v>145</v>
      </c>
      <c r="D110" s="20"/>
      <c r="E110" s="11">
        <f>6/6*81/81*100</f>
        <v>100</v>
      </c>
      <c r="F110" s="11"/>
      <c r="G110" s="11"/>
      <c r="H110" s="12">
        <f t="shared" si="15"/>
        <v>100</v>
      </c>
      <c r="I110" s="98">
        <f>6/6*(120+184+50+701.5)</f>
        <v>1055.5</v>
      </c>
      <c r="J110" s="149" t="s">
        <v>100</v>
      </c>
      <c r="K110" s="122"/>
      <c r="L110" s="25"/>
      <c r="M110" s="11">
        <f>6/6*81/81*100</f>
        <v>100</v>
      </c>
      <c r="N110" s="11"/>
      <c r="O110" s="11"/>
      <c r="P110" s="12">
        <f t="shared" si="16"/>
        <v>100</v>
      </c>
      <c r="Q110" s="105">
        <f>6/6*100000</f>
        <v>100000</v>
      </c>
      <c r="R110" s="73">
        <f t="shared" si="12"/>
        <v>98944.5</v>
      </c>
      <c r="S110" s="164"/>
      <c r="T110" s="165"/>
      <c r="U110" s="85"/>
    </row>
    <row r="111" spans="1:21" s="86" customFormat="1" ht="12.75">
      <c r="A111" s="54" t="s">
        <v>146</v>
      </c>
      <c r="B111" s="10" t="s">
        <v>144</v>
      </c>
      <c r="C111" s="18" t="s">
        <v>145</v>
      </c>
      <c r="D111" s="20"/>
      <c r="E111" s="11">
        <f>6/6*98064/98064*49</f>
        <v>49</v>
      </c>
      <c r="F111" s="11"/>
      <c r="G111" s="11"/>
      <c r="H111" s="12">
        <f t="shared" si="15"/>
        <v>49</v>
      </c>
      <c r="I111" s="100">
        <f>6/6*0</f>
        <v>0</v>
      </c>
      <c r="J111" s="149" t="s">
        <v>104</v>
      </c>
      <c r="K111" s="122"/>
      <c r="L111" s="25"/>
      <c r="M111" s="11">
        <f>6/6*98064/98064*49</f>
        <v>49</v>
      </c>
      <c r="N111" s="11"/>
      <c r="O111" s="11"/>
      <c r="P111" s="12">
        <f t="shared" si="16"/>
        <v>49</v>
      </c>
      <c r="Q111" s="105">
        <f>6/6*49000</f>
        <v>49000</v>
      </c>
      <c r="R111" s="73">
        <f t="shared" si="12"/>
        <v>49000</v>
      </c>
      <c r="S111" s="164"/>
      <c r="T111" s="165"/>
      <c r="U111" s="85"/>
    </row>
    <row r="112" spans="1:21" s="86" customFormat="1" ht="12.75">
      <c r="A112" s="54" t="s">
        <v>99</v>
      </c>
      <c r="B112" s="10" t="s">
        <v>148</v>
      </c>
      <c r="C112" s="18" t="s">
        <v>149</v>
      </c>
      <c r="D112" s="20"/>
      <c r="E112" s="11">
        <f>6/6*81/81*200</f>
        <v>200</v>
      </c>
      <c r="F112" s="11"/>
      <c r="G112" s="11"/>
      <c r="H112" s="12">
        <f>D112+E112</f>
        <v>200</v>
      </c>
      <c r="I112" s="98">
        <f>6/6*(11918+20208.5+150000)</f>
        <v>182126.5</v>
      </c>
      <c r="J112" s="149" t="s">
        <v>100</v>
      </c>
      <c r="K112" s="122"/>
      <c r="L112" s="25"/>
      <c r="M112" s="11">
        <f>6/6*81/81*200</f>
        <v>200</v>
      </c>
      <c r="N112" s="11"/>
      <c r="O112" s="11"/>
      <c r="P112" s="12">
        <f t="shared" si="16"/>
        <v>200</v>
      </c>
      <c r="Q112" s="105">
        <f>6/6*200000</f>
        <v>200000</v>
      </c>
      <c r="R112" s="73">
        <f t="shared" si="12"/>
        <v>17873.5</v>
      </c>
      <c r="S112" s="164"/>
      <c r="T112" s="165"/>
      <c r="U112" s="85"/>
    </row>
    <row r="113" spans="18:21" ht="13.5" thickBot="1">
      <c r="R113" s="73">
        <f>Q113-I113</f>
        <v>0</v>
      </c>
      <c r="S113" s="164"/>
      <c r="T113" s="165"/>
      <c r="U113" s="53"/>
    </row>
    <row r="114" spans="1:21" ht="14.25" thickBot="1" thickTop="1">
      <c r="A114" s="59" t="s">
        <v>89</v>
      </c>
      <c r="B114" s="46"/>
      <c r="C114" s="91"/>
      <c r="D114" s="60">
        <f>SUM(D83:D113)</f>
        <v>0</v>
      </c>
      <c r="E114" s="60">
        <f>SUM(E83:E113)</f>
        <v>44687.200000000004</v>
      </c>
      <c r="F114" s="60"/>
      <c r="G114" s="60"/>
      <c r="H114" s="60">
        <f>SUM(H83:H113)</f>
        <v>44687.200000000004</v>
      </c>
      <c r="I114" s="133">
        <f>SUM(I83:I113)</f>
        <v>13898428.7</v>
      </c>
      <c r="J114" s="74"/>
      <c r="K114" s="75" t="s">
        <v>91</v>
      </c>
      <c r="L114" s="60">
        <f aca="true" t="shared" si="17" ref="L114:T114">SUM(L83:L113)</f>
        <v>0</v>
      </c>
      <c r="M114" s="60">
        <f t="shared" si="17"/>
        <v>43969.3</v>
      </c>
      <c r="N114" s="60"/>
      <c r="O114" s="60"/>
      <c r="P114" s="60">
        <f t="shared" si="17"/>
        <v>43969.3</v>
      </c>
      <c r="Q114" s="142">
        <f t="shared" si="17"/>
        <v>21434574</v>
      </c>
      <c r="R114" s="66">
        <f t="shared" si="17"/>
        <v>8254078.15</v>
      </c>
      <c r="S114" s="67">
        <f t="shared" si="17"/>
        <v>0</v>
      </c>
      <c r="T114" s="166">
        <f t="shared" si="17"/>
        <v>-717932.8500000001</v>
      </c>
      <c r="U114" s="68">
        <f>SUM(U83:U113)</f>
        <v>0</v>
      </c>
    </row>
    <row r="115" spans="1:21" ht="14.25" thickBot="1" thickTop="1">
      <c r="A115" s="61" t="s">
        <v>90</v>
      </c>
      <c r="B115" s="62"/>
      <c r="C115" s="92"/>
      <c r="D115" s="60">
        <f>D80+D114</f>
        <v>64406</v>
      </c>
      <c r="E115" s="60">
        <f>E80+E114</f>
        <v>44687.200000000004</v>
      </c>
      <c r="F115" s="60"/>
      <c r="G115" s="60"/>
      <c r="H115" s="60">
        <f>H80+H114</f>
        <v>109093.20000000001</v>
      </c>
      <c r="I115" s="133">
        <f>I80+I114</f>
        <v>44169456.61999999</v>
      </c>
      <c r="J115" s="74"/>
      <c r="K115" s="75" t="s">
        <v>92</v>
      </c>
      <c r="L115" s="60">
        <f>L80+L114</f>
        <v>64406</v>
      </c>
      <c r="M115" s="60">
        <f>M80+M114</f>
        <v>43969.3</v>
      </c>
      <c r="N115" s="60"/>
      <c r="O115" s="60"/>
      <c r="P115" s="60">
        <f>P80+P114</f>
        <v>108375.3</v>
      </c>
      <c r="Q115" s="142">
        <f>Q80+Q114</f>
        <v>49695430.61</v>
      </c>
      <c r="R115" s="167"/>
      <c r="S115" s="168"/>
      <c r="T115" s="169" t="s">
        <v>95</v>
      </c>
      <c r="U115" s="69"/>
    </row>
    <row r="116" spans="4:21" ht="14.25" thickBot="1" thickTop="1">
      <c r="D116" s="113">
        <f>64406-D115</f>
        <v>0</v>
      </c>
      <c r="E116" s="113">
        <f>40933.2*0+6/6*44687.2-E115</f>
        <v>0</v>
      </c>
      <c r="F116" s="114"/>
      <c r="G116" s="114"/>
      <c r="H116" s="113">
        <f>(106379.6*0+6/6*109093.2-16/16*1040.4*0)-H115</f>
        <v>0</v>
      </c>
      <c r="I116" s="132">
        <f>37244157.52*0+6/6*44169456.62-I115</f>
        <v>0</v>
      </c>
      <c r="J116" s="114"/>
      <c r="K116" s="114"/>
      <c r="L116" s="117">
        <f>64406-L115</f>
        <v>0</v>
      </c>
      <c r="M116" s="113">
        <f>40933.2*0+6/6*44687.2-M115</f>
        <v>717.8999999999942</v>
      </c>
      <c r="N116" s="114"/>
      <c r="O116" s="114"/>
      <c r="P116" s="113">
        <f>(106277*0+6/6*108375.3-16/16*1655.7*0+1040.4*0)-P115</f>
        <v>0</v>
      </c>
      <c r="Q116" s="132">
        <f>39702004.98*0+6/6*49695430.61-Q115</f>
        <v>0</v>
      </c>
      <c r="R116" s="170"/>
      <c r="S116" s="170"/>
      <c r="T116" s="171"/>
      <c r="U116" s="69"/>
    </row>
    <row r="117" spans="10:21" ht="13.5" thickTop="1">
      <c r="J117" s="64"/>
      <c r="K117" s="63"/>
      <c r="L117" s="65"/>
      <c r="M117" s="65"/>
      <c r="N117" s="65"/>
      <c r="O117" s="65"/>
      <c r="P117" s="65"/>
      <c r="Q117" s="143"/>
      <c r="R117" s="70">
        <f>(0*25%-0)+(0*50%-0)</f>
        <v>0</v>
      </c>
      <c r="S117" s="70"/>
      <c r="T117" s="171"/>
      <c r="U117" s="69"/>
    </row>
    <row r="118" spans="5:21" ht="13.5" thickBot="1">
      <c r="E118" s="114"/>
      <c r="F118" s="114"/>
      <c r="G118" s="114"/>
      <c r="H118" s="114"/>
      <c r="J118" s="64"/>
      <c r="K118" s="63"/>
      <c r="L118" s="65"/>
      <c r="M118" s="65"/>
      <c r="N118" s="65"/>
      <c r="O118" s="65"/>
      <c r="P118" s="65"/>
      <c r="Q118" s="143"/>
      <c r="R118" s="71" t="s">
        <v>96</v>
      </c>
      <c r="S118" s="71" t="s">
        <v>97</v>
      </c>
      <c r="T118" s="171"/>
      <c r="U118" s="69"/>
    </row>
    <row r="119" spans="5:21" ht="14.25" thickBot="1" thickTop="1">
      <c r="E119" s="114"/>
      <c r="F119" s="114"/>
      <c r="G119" s="114"/>
      <c r="H119" s="114"/>
      <c r="J119" s="158"/>
      <c r="K119" s="127" t="s">
        <v>93</v>
      </c>
      <c r="L119" s="118">
        <f>L114-D114</f>
        <v>0</v>
      </c>
      <c r="M119" s="118">
        <f>M114-E114</f>
        <v>-717.9000000000015</v>
      </c>
      <c r="N119" s="119"/>
      <c r="O119" s="119"/>
      <c r="P119" s="120">
        <f>P114-H114</f>
        <v>-717.9000000000015</v>
      </c>
      <c r="Q119" s="144">
        <f>Q114-I114</f>
        <v>7536145.300000001</v>
      </c>
      <c r="R119" s="70">
        <f>SUM(R114:R117)</f>
        <v>8254078.15</v>
      </c>
      <c r="S119" s="70">
        <f>R119-S114-S117</f>
        <v>8254078.15</v>
      </c>
      <c r="T119" s="171"/>
      <c r="U119" s="69"/>
    </row>
    <row r="120" spans="10:21" ht="14.25" thickBot="1" thickTop="1">
      <c r="J120" s="158"/>
      <c r="K120" s="127" t="s">
        <v>94</v>
      </c>
      <c r="L120" s="118">
        <f>L115-D115</f>
        <v>0</v>
      </c>
      <c r="M120" s="118">
        <f>M115-E115</f>
        <v>-717.9000000000015</v>
      </c>
      <c r="N120" s="119"/>
      <c r="O120" s="119"/>
      <c r="P120" s="120">
        <f>P115-H115</f>
        <v>-717.9000000000087</v>
      </c>
      <c r="Q120" s="144">
        <f>Q115-I115</f>
        <v>5525973.99000001</v>
      </c>
      <c r="R120" s="72" t="s">
        <v>98</v>
      </c>
      <c r="S120" s="72" t="s">
        <v>98</v>
      </c>
      <c r="T120" s="171"/>
      <c r="U120" s="69"/>
    </row>
    <row r="121" ht="13.5" thickTop="1"/>
  </sheetData>
  <mergeCells count="6">
    <mergeCell ref="L1:Q1"/>
    <mergeCell ref="K1:K2"/>
    <mergeCell ref="J5:K5"/>
    <mergeCell ref="J6:K6"/>
    <mergeCell ref="A1:C2"/>
    <mergeCell ref="D1:I1"/>
  </mergeCells>
  <printOptions/>
  <pageMargins left="0.5905511811023623" right="0" top="0.5905511811023623" bottom="0.5905511811023623" header="0.1968503937007874" footer="0.11811023622047245"/>
  <pageSetup horizontalDpi="360" verticalDpi="360" orientation="landscape" paperSize="9" scale="73" r:id="rId1"/>
  <headerFooter alignWithMargins="0">
    <oddHeader>&amp;LRozpočet schvál - upravený -  skutečnost 30.06.2007&amp;R&amp;"Arial CE,tučné kurzíva\&amp;11RMČ 18 08 2007</oddHeader>
    <oddFooter>&amp;LVyhotovila: M.Tišlová, ved. OE ÚMČ&amp;C&amp;"Arial CE,tučné kurzíva\&amp;A&amp;R&amp;"Arial CE,tučné\&amp;P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cernajan</cp:lastModifiedBy>
  <cp:lastPrinted>2007-07-18T09:14:59Z</cp:lastPrinted>
  <dcterms:created xsi:type="dcterms:W3CDTF">2007-03-15T14:02:07Z</dcterms:created>
  <dcterms:modified xsi:type="dcterms:W3CDTF">2007-07-20T11:18:01Z</dcterms:modified>
  <cp:category/>
  <cp:version/>
  <cp:contentType/>
  <cp:contentStatus/>
</cp:coreProperties>
</file>