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005" windowHeight="4635" activeTab="0"/>
  </bookViews>
  <sheets>
    <sheet name="RMČ 09 12 ZMČ 16 12 09 UR 2009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<sst xmlns="http://schemas.openxmlformats.org/spreadsheetml/2006/main" count="49" uniqueCount="32">
  <si>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K projednání do ZMČ</t>
  </si>
  <si>
    <t xml:space="preserve">Datum a podpis předkladatele: 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</si>
  <si>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</si>
  <si>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</si>
  <si>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</si>
  <si>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</si>
  <si>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</si>
  <si>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</si>
  <si>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</si>
  <si>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</si>
  <si>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</si>
  <si>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</si>
  <si>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</si>
  <si>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</si>
  <si>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</si>
  <si>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t>výsledek</t>
  </si>
  <si>
    <t>upravený rozpočet</t>
  </si>
  <si>
    <t xml:space="preserve"> </t>
  </si>
  <si>
    <t>Marta Tišlová ved. odb. ekon. ÚMČ Praha 16</t>
  </si>
  <si>
    <t>Úkol: ZVÝŠENÍ  ROZPOČTU  2009  MČ Praha 16 (Radotín)</t>
  </si>
  <si>
    <t>Schválený rozpočet 2009</t>
  </si>
  <si>
    <t>úprava rozpočtu 2009</t>
  </si>
  <si>
    <t>vlastní úpravy MČ</t>
  </si>
  <si>
    <t>ZMČ 25.3.09 upravený rozpočet</t>
  </si>
  <si>
    <t>ZMČ 17.6.09 upravený rozpočet</t>
  </si>
  <si>
    <t>ZMČ 23.9.09 upravený rozpočet</t>
  </si>
  <si>
    <t>úprava rozpočtu</t>
  </si>
  <si>
    <t xml:space="preserve"> 3.12.2009</t>
  </si>
  <si>
    <t>dne 16.12.2009</t>
  </si>
  <si>
    <r>
      <t>Předkladatel</t>
    </r>
    <r>
      <rPr>
        <sz val="10"/>
        <rFont val="Arial CE"/>
        <family val="2"/>
      </rPr>
      <t xml:space="preserve">: </t>
    </r>
    <r>
      <rPr>
        <sz val="9"/>
        <rFont val="Arial CE"/>
        <family val="2"/>
      </rPr>
      <t>EKONOMICKÝ ODBOR ÚMČ Praha 16 (Radotín)</t>
    </r>
  </si>
  <si>
    <t>ZMČ 16.12.2009</t>
  </si>
  <si>
    <t>Schváleno usnesením Zastupitelstva Městské části Praha 16 č. 4 dne 16.12.2009.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</si>
</sst>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$-405]d\.\ mmmm\ yyyy"/>
  </numFmts>
  <fonts count="22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0"/>
      <name val="Arial CE"/>
      <family val="0"/>
    </font>
    <font>
      <sz val="10"/>
      <color indexed="16"/>
      <name val="Arial CE"/>
      <family val="0"/>
    </font>
    <font>
      <sz val="9"/>
      <color indexed="16"/>
      <name val="Arial CE"/>
      <family val="0"/>
    </font>
    <font>
      <b/>
      <sz val="8"/>
      <color indexed="16"/>
      <name val="Arial CE"/>
      <family val="0"/>
    </font>
    <font>
      <b/>
      <sz val="9"/>
      <color indexed="16"/>
      <name val="Arial CE"/>
      <family val="0"/>
    </font>
    <font>
      <b/>
      <i/>
      <sz val="9"/>
      <color indexed="16"/>
      <name val="Arial CE"/>
      <family val="0"/>
    </font>
    <font>
      <b/>
      <sz val="10"/>
      <color indexed="20"/>
      <name val="Arial CE"/>
      <family val="0"/>
    </font>
    <font>
      <sz val="10"/>
      <color indexed="20"/>
      <name val="Arial CE"/>
      <family val="0"/>
    </font>
    <font>
      <b/>
      <sz val="8"/>
      <color indexed="20"/>
      <name val="Arial CE"/>
      <family val="0"/>
    </font>
    <font>
      <b/>
      <sz val="9"/>
      <color indexed="20"/>
      <name val="Arial CE"/>
      <family val="0"/>
    </font>
    <font>
      <b/>
      <sz val="12"/>
      <color indexed="2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2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6" fillId="2" borderId="20" xfId="0" applyNumberFormat="1" applyFont="1" applyFill="1" applyBorder="1" applyAlignment="1">
      <alignment/>
    </xf>
    <xf numFmtId="164" fontId="6" fillId="2" borderId="18" xfId="0" applyNumberFormat="1" applyFont="1" applyFill="1" applyBorder="1" applyAlignment="1">
      <alignment/>
    </xf>
    <xf numFmtId="164" fontId="6" fillId="2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4" fontId="1" fillId="0" borderId="6" xfId="0" applyNumberFormat="1" applyFont="1" applyBorder="1" applyAlignment="1">
      <alignment/>
    </xf>
    <xf numFmtId="164" fontId="10" fillId="0" borderId="9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0" fillId="0" borderId="13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3" xfId="0" applyFont="1" applyBorder="1" applyAlignment="1">
      <alignment horizontal="center" wrapText="1"/>
    </xf>
    <xf numFmtId="164" fontId="12" fillId="0" borderId="6" xfId="0" applyNumberFormat="1" applyFont="1" applyBorder="1" applyAlignment="1">
      <alignment/>
    </xf>
    <xf numFmtId="164" fontId="13" fillId="0" borderId="9" xfId="0" applyNumberFormat="1" applyFont="1" applyFill="1" applyBorder="1" applyAlignment="1">
      <alignment/>
    </xf>
    <xf numFmtId="164" fontId="13" fillId="0" borderId="9" xfId="0" applyNumberFormat="1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164" fontId="16" fillId="2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30" xfId="0" applyFont="1" applyBorder="1" applyAlignment="1">
      <alignment/>
    </xf>
    <xf numFmtId="0" fontId="19" fillId="0" borderId="3" xfId="0" applyFont="1" applyBorder="1" applyAlignment="1">
      <alignment horizontal="center" wrapText="1"/>
    </xf>
    <xf numFmtId="164" fontId="18" fillId="0" borderId="6" xfId="0" applyNumberFormat="1" applyFont="1" applyBorder="1" applyAlignment="1">
      <alignment/>
    </xf>
    <xf numFmtId="164" fontId="18" fillId="0" borderId="9" xfId="0" applyNumberFormat="1" applyFont="1" applyBorder="1" applyAlignment="1">
      <alignment/>
    </xf>
    <xf numFmtId="164" fontId="18" fillId="0" borderId="9" xfId="0" applyNumberFormat="1" applyFont="1" applyFill="1" applyBorder="1" applyAlignment="1">
      <alignment/>
    </xf>
    <xf numFmtId="164" fontId="18" fillId="0" borderId="13" xfId="0" applyNumberFormat="1" applyFont="1" applyBorder="1" applyAlignment="1">
      <alignment/>
    </xf>
    <xf numFmtId="164" fontId="20" fillId="0" borderId="15" xfId="0" applyNumberFormat="1" applyFont="1" applyBorder="1" applyAlignment="1">
      <alignment/>
    </xf>
    <xf numFmtId="164" fontId="2" fillId="3" borderId="9" xfId="0" applyNumberFormat="1" applyFont="1" applyFill="1" applyBorder="1" applyAlignment="1">
      <alignment/>
    </xf>
    <xf numFmtId="164" fontId="10" fillId="3" borderId="9" xfId="0" applyNumberFormat="1" applyFont="1" applyFill="1" applyBorder="1" applyAlignment="1">
      <alignment/>
    </xf>
    <xf numFmtId="164" fontId="13" fillId="3" borderId="9" xfId="0" applyNumberFormat="1" applyFont="1" applyFill="1" applyBorder="1" applyAlignment="1">
      <alignment/>
    </xf>
    <xf numFmtId="164" fontId="13" fillId="3" borderId="13" xfId="0" applyNumberFormat="1" applyFont="1" applyFill="1" applyBorder="1" applyAlignment="1">
      <alignment/>
    </xf>
    <xf numFmtId="164" fontId="2" fillId="4" borderId="9" xfId="0" applyNumberFormat="1" applyFont="1" applyFill="1" applyBorder="1" applyAlignment="1">
      <alignment/>
    </xf>
    <xf numFmtId="164" fontId="2" fillId="5" borderId="9" xfId="0" applyNumberFormat="1" applyFont="1" applyFill="1" applyBorder="1" applyAlignment="1">
      <alignment/>
    </xf>
    <xf numFmtId="164" fontId="10" fillId="5" borderId="9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3" xfId="0" applyFont="1" applyFill="1" applyBorder="1" applyAlignment="1">
      <alignment horizontal="center" wrapText="1"/>
    </xf>
    <xf numFmtId="164" fontId="18" fillId="0" borderId="6" xfId="0" applyNumberFormat="1" applyFont="1" applyFill="1" applyBorder="1" applyAlignment="1">
      <alignment/>
    </xf>
    <xf numFmtId="164" fontId="18" fillId="0" borderId="13" xfId="0" applyNumberFormat="1" applyFont="1" applyFill="1" applyBorder="1" applyAlignment="1">
      <alignment/>
    </xf>
    <xf numFmtId="164" fontId="17" fillId="0" borderId="15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49" fontId="4" fillId="0" borderId="0" xfId="0" applyNumberFormat="1" applyFont="1" applyAlignment="1">
      <alignment/>
    </xf>
    <xf numFmtId="0" fontId="1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2"/>
  <sheetViews>
    <sheetView tabSelected="1" zoomScale="90" zoomScaleNormal="90" workbookViewId="0" topLeftCell="A19">
      <selection activeCell="T29" sqref="T29"/>
    </sheetView>
  </sheetViews>
  <sheetFormatPr defaultColWidth="9.00390625" defaultRowHeight="12.75"/>
  <cols>
    <col min="1" max="1" width="13.875" style="37" customWidth="1"/>
    <col min="2" max="2" width="7.875" style="37" customWidth="1"/>
    <col min="3" max="3" width="7.875" style="37" hidden="1" customWidth="1"/>
    <col min="4" max="4" width="5.375" style="37" hidden="1" customWidth="1"/>
    <col min="5" max="5" width="8.875" style="37" customWidth="1"/>
    <col min="6" max="6" width="7.875" style="37" hidden="1" customWidth="1"/>
    <col min="7" max="7" width="5.375" style="37" hidden="1" customWidth="1"/>
    <col min="8" max="8" width="8.875" style="37" customWidth="1"/>
    <col min="9" max="9" width="6.875" style="37" hidden="1" customWidth="1"/>
    <col min="10" max="10" width="9.875" style="37" customWidth="1"/>
    <col min="11" max="11" width="7.625" style="87" customWidth="1"/>
    <col min="12" max="12" width="8.75390625" style="87" customWidth="1"/>
    <col min="13" max="13" width="9.875" style="37" customWidth="1"/>
    <col min="14" max="14" width="7.875" style="37" customWidth="1"/>
    <col min="15" max="15" width="7.875" style="37" hidden="1" customWidth="1"/>
    <col min="16" max="16" width="5.375" style="37" hidden="1" customWidth="1"/>
    <col min="17" max="17" width="8.75390625" style="37" customWidth="1"/>
    <col min="18" max="18" width="7.875" style="37" hidden="1" customWidth="1"/>
    <col min="19" max="19" width="5.375" style="37" hidden="1" customWidth="1"/>
    <col min="20" max="20" width="8.75390625" style="37" customWidth="1"/>
    <col min="21" max="21" width="6.875" style="37" hidden="1" customWidth="1"/>
    <col min="22" max="22" width="9.875" style="37" customWidth="1"/>
    <col min="23" max="23" width="7.625" style="37" customWidth="1"/>
    <col min="24" max="24" width="8.75390625" style="37" customWidth="1"/>
    <col min="25" max="25" width="9.875" style="37" customWidth="1"/>
    <col min="26" max="28" width="9.125" style="37" customWidth="1"/>
    <col min="29" max="29" width="10.00390625" style="37" bestFit="1" customWidth="1"/>
    <col min="30" max="33" width="9.125" style="37" customWidth="1"/>
    <col min="34" max="34" width="9.375" style="37" bestFit="1" customWidth="1"/>
    <col min="35" max="16384" width="9.125" style="37" customWidth="1"/>
  </cols>
  <sheetData>
    <row r="2" spans="4:13" s="41" customFormat="1" ht="15.75">
      <c r="D2" s="40"/>
      <c r="E2" s="40"/>
      <c r="F2" s="78" t="s">
        <v>0</v>
      </c>
      <c r="G2" s="40"/>
      <c r="H2" s="40"/>
      <c r="I2" s="40"/>
      <c r="J2" s="40"/>
      <c r="K2" s="79"/>
      <c r="L2" s="79"/>
      <c r="M2" s="40"/>
    </row>
    <row r="3" spans="4:13" s="41" customFormat="1" ht="15.75">
      <c r="D3" s="40"/>
      <c r="E3" s="40"/>
      <c r="F3" s="78" t="s">
        <v>28</v>
      </c>
      <c r="G3" s="40"/>
      <c r="H3" s="40"/>
      <c r="I3" s="40"/>
      <c r="J3" s="40"/>
      <c r="K3" s="79"/>
      <c r="L3" s="79"/>
      <c r="M3" s="40"/>
    </row>
    <row r="4" spans="11:12" s="41" customFormat="1" ht="12.75">
      <c r="K4" s="80"/>
      <c r="L4" s="80"/>
    </row>
    <row r="5" spans="11:12" s="41" customFormat="1" ht="12.75">
      <c r="K5" s="80"/>
      <c r="L5" s="80"/>
    </row>
    <row r="6" spans="1:12" s="55" customFormat="1" ht="15" customHeight="1">
      <c r="A6" s="91" t="s">
        <v>19</v>
      </c>
      <c r="K6" s="81"/>
      <c r="L6" s="81"/>
    </row>
    <row r="7" spans="1:12" s="55" customFormat="1" ht="12.75">
      <c r="A7" s="92"/>
      <c r="K7" s="81"/>
      <c r="L7" s="81"/>
    </row>
    <row r="8" spans="1:12" s="55" customFormat="1" ht="12.75">
      <c r="A8" s="91" t="s">
        <v>29</v>
      </c>
      <c r="K8" s="81"/>
      <c r="L8" s="81"/>
    </row>
    <row r="9" spans="11:12" s="41" customFormat="1" ht="12.75">
      <c r="K9" s="80"/>
      <c r="L9" s="80"/>
    </row>
    <row r="10" spans="11:12" s="41" customFormat="1" ht="13.5" thickBot="1">
      <c r="K10" s="80"/>
      <c r="L10" s="80"/>
    </row>
    <row r="11" spans="1:25" s="92" customFormat="1" ht="12.75">
      <c r="A11" s="93"/>
      <c r="B11" s="95" t="s">
        <v>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  <c r="N11" s="95" t="s">
        <v>2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9"/>
    </row>
    <row r="12" spans="1:25" s="63" customFormat="1" ht="12.75">
      <c r="A12" s="64"/>
      <c r="B12" s="100" t="s">
        <v>30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  <c r="N12" s="100" t="s">
        <v>30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2"/>
    </row>
    <row r="13" spans="1:25" s="5" customFormat="1" ht="54.75" customHeight="1" thickBot="1">
      <c r="A13" s="1"/>
      <c r="B13" s="2" t="s">
        <v>20</v>
      </c>
      <c r="C13" s="3" t="s">
        <v>21</v>
      </c>
      <c r="D13" s="3" t="s">
        <v>22</v>
      </c>
      <c r="E13" s="3" t="s">
        <v>23</v>
      </c>
      <c r="F13" s="3" t="s">
        <v>21</v>
      </c>
      <c r="G13" s="3" t="s">
        <v>22</v>
      </c>
      <c r="H13" s="3" t="s">
        <v>24</v>
      </c>
      <c r="I13" s="56" t="s">
        <v>21</v>
      </c>
      <c r="J13" s="3" t="s">
        <v>25</v>
      </c>
      <c r="K13" s="82" t="s">
        <v>26</v>
      </c>
      <c r="L13" s="82" t="s">
        <v>22</v>
      </c>
      <c r="M13" s="4" t="s">
        <v>16</v>
      </c>
      <c r="N13" s="2" t="s">
        <v>20</v>
      </c>
      <c r="O13" s="3" t="s">
        <v>21</v>
      </c>
      <c r="P13" s="3" t="s">
        <v>22</v>
      </c>
      <c r="Q13" s="3" t="s">
        <v>23</v>
      </c>
      <c r="R13" s="3" t="s">
        <v>21</v>
      </c>
      <c r="S13" s="3" t="s">
        <v>22</v>
      </c>
      <c r="T13" s="3" t="s">
        <v>24</v>
      </c>
      <c r="U13" s="56" t="s">
        <v>21</v>
      </c>
      <c r="V13" s="3" t="s">
        <v>25</v>
      </c>
      <c r="W13" s="65" t="s">
        <v>26</v>
      </c>
      <c r="X13" s="65" t="s">
        <v>22</v>
      </c>
      <c r="Y13" s="4" t="s">
        <v>16</v>
      </c>
    </row>
    <row r="14" spans="1:25" s="10" customFormat="1" ht="12.75">
      <c r="A14" s="6" t="s">
        <v>4</v>
      </c>
      <c r="B14" s="46"/>
      <c r="C14" s="7"/>
      <c r="D14" s="7"/>
      <c r="E14" s="42">
        <f>SUM(B14:D14)</f>
        <v>0</v>
      </c>
      <c r="F14" s="7"/>
      <c r="G14" s="7"/>
      <c r="H14" s="42">
        <f>SUM(E14:G14)</f>
        <v>0</v>
      </c>
      <c r="I14" s="57"/>
      <c r="J14" s="42">
        <f>SUM(H14:I14)</f>
        <v>0</v>
      </c>
      <c r="K14" s="83"/>
      <c r="L14" s="83"/>
      <c r="M14" s="8">
        <f>SUM(J14:L14)</f>
        <v>0</v>
      </c>
      <c r="N14" s="51"/>
      <c r="O14" s="9"/>
      <c r="P14" s="9"/>
      <c r="Q14" s="42">
        <f>SUM(N14:P14)</f>
        <v>0</v>
      </c>
      <c r="R14" s="7"/>
      <c r="S14" s="7"/>
      <c r="T14" s="42">
        <f>SUM(Q14:S14)</f>
        <v>0</v>
      </c>
      <c r="U14" s="57"/>
      <c r="V14" s="42">
        <f>SUM(T14:U14)</f>
        <v>0</v>
      </c>
      <c r="W14" s="66"/>
      <c r="X14" s="66"/>
      <c r="Y14" s="8">
        <f>SUM(V14:X14)</f>
        <v>0</v>
      </c>
    </row>
    <row r="15" spans="1:25" s="10" customFormat="1" ht="12.75">
      <c r="A15" s="11" t="s">
        <v>5</v>
      </c>
      <c r="B15" s="47"/>
      <c r="C15" s="71">
        <v>3800</v>
      </c>
      <c r="D15" s="12"/>
      <c r="E15" s="42">
        <f>SUM(B15:D15)</f>
        <v>3800</v>
      </c>
      <c r="F15" s="12"/>
      <c r="G15" s="12"/>
      <c r="H15" s="42">
        <f>SUM(E15:G15)</f>
        <v>3800</v>
      </c>
      <c r="I15" s="73">
        <f>99/99*43</f>
        <v>43</v>
      </c>
      <c r="J15" s="42">
        <f>SUM(H15:I15)</f>
        <v>3843</v>
      </c>
      <c r="K15" s="68"/>
      <c r="L15" s="68">
        <f>7+3+18+9</f>
        <v>37</v>
      </c>
      <c r="M15" s="13">
        <f>SUM(J15:L15)</f>
        <v>3880</v>
      </c>
      <c r="N15" s="52"/>
      <c r="O15" s="12">
        <v>3800</v>
      </c>
      <c r="P15" s="12"/>
      <c r="Q15" s="42">
        <f>SUM(N15:P15)</f>
        <v>3800</v>
      </c>
      <c r="R15" s="12"/>
      <c r="S15" s="12"/>
      <c r="T15" s="42">
        <f>SUM(Q15:S15)</f>
        <v>3800</v>
      </c>
      <c r="U15" s="58"/>
      <c r="V15" s="42">
        <f>SUM(T15:U15)</f>
        <v>3800</v>
      </c>
      <c r="W15" s="67"/>
      <c r="X15" s="67"/>
      <c r="Y15" s="89">
        <f>SUM(V15:X15)</f>
        <v>3800</v>
      </c>
    </row>
    <row r="16" spans="1:25" s="10" customFormat="1" ht="12.75">
      <c r="A16" s="15" t="s">
        <v>6</v>
      </c>
      <c r="B16" s="47">
        <v>500</v>
      </c>
      <c r="C16" s="14"/>
      <c r="D16" s="14"/>
      <c r="E16" s="42">
        <f aca="true" t="shared" si="0" ref="E16:E23">SUM(B16:D16)</f>
        <v>500</v>
      </c>
      <c r="F16" s="14"/>
      <c r="G16" s="14"/>
      <c r="H16" s="42">
        <f aca="true" t="shared" si="1" ref="H16:H23">SUM(E16:G16)</f>
        <v>500</v>
      </c>
      <c r="I16" s="73">
        <f>99/99*245</f>
        <v>245</v>
      </c>
      <c r="J16" s="42">
        <f aca="true" t="shared" si="2" ref="J16:J23">SUM(H16:I16)</f>
        <v>745</v>
      </c>
      <c r="K16" s="68"/>
      <c r="L16" s="68">
        <v>-136</v>
      </c>
      <c r="M16" s="13">
        <f aca="true" t="shared" si="3" ref="M16:M23">SUM(J16:L16)</f>
        <v>609</v>
      </c>
      <c r="N16" s="52"/>
      <c r="O16" s="14"/>
      <c r="P16" s="14"/>
      <c r="Q16" s="42">
        <f aca="true" t="shared" si="4" ref="Q16:Q23">SUM(N16:P16)</f>
        <v>0</v>
      </c>
      <c r="R16" s="14"/>
      <c r="S16" s="14"/>
      <c r="T16" s="42">
        <f aca="true" t="shared" si="5" ref="T16:T23">SUM(Q16:S16)</f>
        <v>0</v>
      </c>
      <c r="U16" s="59"/>
      <c r="V16" s="42">
        <f aca="true" t="shared" si="6" ref="V16:V23">SUM(T16:U16)</f>
        <v>0</v>
      </c>
      <c r="W16" s="67"/>
      <c r="X16" s="67"/>
      <c r="Y16" s="89">
        <f aca="true" t="shared" si="7" ref="Y16:Y23">SUM(V16:X16)</f>
        <v>0</v>
      </c>
    </row>
    <row r="17" spans="1:25" s="10" customFormat="1" ht="12.75">
      <c r="A17" s="15" t="s">
        <v>7</v>
      </c>
      <c r="B17" s="47">
        <f>5500+85</f>
        <v>5585</v>
      </c>
      <c r="C17" s="71">
        <f>81/81*(50+50+30)</f>
        <v>130</v>
      </c>
      <c r="D17" s="14"/>
      <c r="E17" s="42">
        <f t="shared" si="0"/>
        <v>5715</v>
      </c>
      <c r="F17" s="72">
        <f>4/4*16</f>
        <v>16</v>
      </c>
      <c r="G17" s="77">
        <f>3113/3113*10</f>
        <v>10</v>
      </c>
      <c r="H17" s="42">
        <f t="shared" si="1"/>
        <v>5741</v>
      </c>
      <c r="I17" s="73">
        <f>91/91*81+99/99*166</f>
        <v>247</v>
      </c>
      <c r="J17" s="42">
        <f t="shared" si="2"/>
        <v>5988</v>
      </c>
      <c r="K17" s="68">
        <f>64+153.2</f>
        <v>217.2</v>
      </c>
      <c r="L17" s="68">
        <f>212+17+140</f>
        <v>369</v>
      </c>
      <c r="M17" s="13">
        <f t="shared" si="3"/>
        <v>6574.2</v>
      </c>
      <c r="N17" s="52"/>
      <c r="O17" s="14">
        <f>81/81*(50+50+30)</f>
        <v>130</v>
      </c>
      <c r="P17" s="14"/>
      <c r="Q17" s="42">
        <f t="shared" si="4"/>
        <v>130</v>
      </c>
      <c r="R17" s="14"/>
      <c r="S17" s="14"/>
      <c r="T17" s="42">
        <f t="shared" si="5"/>
        <v>130</v>
      </c>
      <c r="U17" s="59">
        <f>81</f>
        <v>81</v>
      </c>
      <c r="V17" s="42">
        <f t="shared" si="6"/>
        <v>211</v>
      </c>
      <c r="W17" s="67">
        <f>64+153.2</f>
        <v>217.2</v>
      </c>
      <c r="X17" s="67"/>
      <c r="Y17" s="89">
        <f t="shared" si="7"/>
        <v>428.2</v>
      </c>
    </row>
    <row r="18" spans="1:28" s="17" customFormat="1" ht="12.75">
      <c r="A18" s="15" t="s">
        <v>8</v>
      </c>
      <c r="B18" s="47">
        <v>2900</v>
      </c>
      <c r="C18" s="71">
        <f>13306/13306*5000+13235/13235*14190</f>
        <v>19190</v>
      </c>
      <c r="D18" s="12"/>
      <c r="E18" s="42">
        <f t="shared" si="0"/>
        <v>22090</v>
      </c>
      <c r="F18" s="12"/>
      <c r="G18" s="77">
        <f>4351/4351*80</f>
        <v>80</v>
      </c>
      <c r="H18" s="42">
        <f t="shared" si="1"/>
        <v>22170</v>
      </c>
      <c r="I18" s="73">
        <f>99/99*50</f>
        <v>50</v>
      </c>
      <c r="J18" s="42">
        <f t="shared" si="2"/>
        <v>22220</v>
      </c>
      <c r="K18" s="68">
        <f>(2158+1553)+1000+744</f>
        <v>5455</v>
      </c>
      <c r="L18" s="68">
        <f>254+577-301+63+8-16+6+157+25</f>
        <v>773</v>
      </c>
      <c r="M18" s="13">
        <f t="shared" si="3"/>
        <v>28448</v>
      </c>
      <c r="N18" s="52">
        <v>480</v>
      </c>
      <c r="O18" s="12">
        <f>13306/13306*5000+13235/13235*14190</f>
        <v>19190</v>
      </c>
      <c r="P18" s="12"/>
      <c r="Q18" s="42">
        <f t="shared" si="4"/>
        <v>19670</v>
      </c>
      <c r="R18" s="12"/>
      <c r="S18" s="12"/>
      <c r="T18" s="42">
        <f t="shared" si="5"/>
        <v>19670</v>
      </c>
      <c r="U18" s="58"/>
      <c r="V18" s="42">
        <f t="shared" si="6"/>
        <v>19670</v>
      </c>
      <c r="W18" s="68">
        <f>(2158+1553)+1000+391.4+744</f>
        <v>5846.4</v>
      </c>
      <c r="X18" s="68"/>
      <c r="Y18" s="89">
        <f t="shared" si="7"/>
        <v>25516.4</v>
      </c>
      <c r="Z18" s="10"/>
      <c r="AA18" s="10"/>
      <c r="AB18" s="16"/>
    </row>
    <row r="19" spans="1:28" s="17" customFormat="1" ht="12.75">
      <c r="A19" s="15" t="s">
        <v>9</v>
      </c>
      <c r="B19" s="47">
        <f>3050+33200</f>
        <v>36250</v>
      </c>
      <c r="C19" s="71">
        <f>81/81*44.3</f>
        <v>44.3</v>
      </c>
      <c r="D19" s="14"/>
      <c r="E19" s="42">
        <f>SUM(B19:D19)</f>
        <v>36294.3</v>
      </c>
      <c r="F19" s="72">
        <f>5/5*20000</f>
        <v>20000</v>
      </c>
      <c r="G19" s="76">
        <f>13+21</f>
        <v>34</v>
      </c>
      <c r="H19" s="42">
        <f t="shared" si="1"/>
        <v>56328.3</v>
      </c>
      <c r="I19" s="73">
        <f>99/99*60</f>
        <v>60</v>
      </c>
      <c r="J19" s="42">
        <f t="shared" si="2"/>
        <v>56388.3</v>
      </c>
      <c r="K19" s="68">
        <f>12/12*1500</f>
        <v>1500</v>
      </c>
      <c r="L19" s="68">
        <f>-40+10+560-10+19+5+16+11380+296+72</f>
        <v>12308</v>
      </c>
      <c r="M19" s="13">
        <f t="shared" si="3"/>
        <v>70196.3</v>
      </c>
      <c r="N19" s="52">
        <v>270</v>
      </c>
      <c r="O19" s="14">
        <f>81/81*44.3</f>
        <v>44.3</v>
      </c>
      <c r="P19" s="14"/>
      <c r="Q19" s="42">
        <f t="shared" si="4"/>
        <v>314.3</v>
      </c>
      <c r="R19" s="43">
        <v>20000</v>
      </c>
      <c r="S19" s="14"/>
      <c r="T19" s="42">
        <f t="shared" si="5"/>
        <v>20314.3</v>
      </c>
      <c r="U19" s="59"/>
      <c r="V19" s="42">
        <f t="shared" si="6"/>
        <v>20314.3</v>
      </c>
      <c r="W19" s="67">
        <f>12/12*1500</f>
        <v>1500</v>
      </c>
      <c r="X19" s="67"/>
      <c r="Y19" s="89">
        <f t="shared" si="7"/>
        <v>21814.3</v>
      </c>
      <c r="Z19" s="10"/>
      <c r="AA19" s="10"/>
      <c r="AB19" s="18"/>
    </row>
    <row r="20" spans="1:25" s="10" customFormat="1" ht="12.75">
      <c r="A20" s="15" t="s">
        <v>10</v>
      </c>
      <c r="B20" s="47">
        <f>300+50</f>
        <v>350</v>
      </c>
      <c r="C20" s="14"/>
      <c r="D20" s="14"/>
      <c r="E20" s="42">
        <f t="shared" si="0"/>
        <v>350</v>
      </c>
      <c r="F20" s="14"/>
      <c r="G20" s="14"/>
      <c r="H20" s="42">
        <f t="shared" si="1"/>
        <v>350</v>
      </c>
      <c r="I20" s="59">
        <f>99/99*80*0</f>
        <v>0</v>
      </c>
      <c r="J20" s="42">
        <f t="shared" si="2"/>
        <v>350</v>
      </c>
      <c r="K20" s="68">
        <f>102</f>
        <v>102</v>
      </c>
      <c r="L20" s="68"/>
      <c r="M20" s="13">
        <f t="shared" si="3"/>
        <v>452</v>
      </c>
      <c r="N20" s="52"/>
      <c r="O20" s="14"/>
      <c r="P20" s="14"/>
      <c r="Q20" s="42">
        <f t="shared" si="4"/>
        <v>0</v>
      </c>
      <c r="R20" s="14"/>
      <c r="S20" s="14"/>
      <c r="T20" s="42">
        <f t="shared" si="5"/>
        <v>0</v>
      </c>
      <c r="U20" s="59"/>
      <c r="V20" s="42">
        <f t="shared" si="6"/>
        <v>0</v>
      </c>
      <c r="W20" s="67">
        <f>102</f>
        <v>102</v>
      </c>
      <c r="X20" s="67"/>
      <c r="Y20" s="89">
        <f t="shared" si="7"/>
        <v>102</v>
      </c>
    </row>
    <row r="21" spans="1:25" s="10" customFormat="1" ht="12.75">
      <c r="A21" s="15" t="s">
        <v>11</v>
      </c>
      <c r="B21" s="47">
        <v>7000</v>
      </c>
      <c r="C21" s="14"/>
      <c r="D21" s="14"/>
      <c r="E21" s="42">
        <f t="shared" si="0"/>
        <v>7000</v>
      </c>
      <c r="F21" s="14"/>
      <c r="G21" s="14"/>
      <c r="H21" s="42">
        <f t="shared" si="1"/>
        <v>7000</v>
      </c>
      <c r="I21" s="59"/>
      <c r="J21" s="42">
        <f t="shared" si="2"/>
        <v>7000</v>
      </c>
      <c r="K21" s="68"/>
      <c r="L21" s="68">
        <f>641+(1139+1519-300)+300+10</f>
        <v>3309</v>
      </c>
      <c r="M21" s="13">
        <f t="shared" si="3"/>
        <v>10309</v>
      </c>
      <c r="N21" s="52">
        <v>1000</v>
      </c>
      <c r="O21" s="14"/>
      <c r="P21" s="14"/>
      <c r="Q21" s="42">
        <f t="shared" si="4"/>
        <v>1000</v>
      </c>
      <c r="R21" s="14"/>
      <c r="S21" s="14"/>
      <c r="T21" s="42">
        <f t="shared" si="5"/>
        <v>1000</v>
      </c>
      <c r="U21" s="59"/>
      <c r="V21" s="42">
        <f t="shared" si="6"/>
        <v>1000</v>
      </c>
      <c r="W21" s="67"/>
      <c r="X21" s="67"/>
      <c r="Y21" s="89">
        <f t="shared" si="7"/>
        <v>1000</v>
      </c>
    </row>
    <row r="22" spans="1:28" s="17" customFormat="1" ht="12.75">
      <c r="A22" s="15" t="s">
        <v>12</v>
      </c>
      <c r="B22" s="47">
        <v>45000</v>
      </c>
      <c r="C22" s="71">
        <f>81/81*(338.1+300)+98216/98216*348.3+81/81*70</f>
        <v>1056.4</v>
      </c>
      <c r="D22" s="75">
        <f>200</f>
        <v>200</v>
      </c>
      <c r="E22" s="42">
        <f t="shared" si="0"/>
        <v>46256.4</v>
      </c>
      <c r="F22" s="72">
        <f>3/3*(1154+226.8)+4/4*-1173+5/5*348.3</f>
        <v>556.0999999999999</v>
      </c>
      <c r="G22" s="43">
        <f>6171/6171*(5555/5555*250+130)-G19</f>
        <v>346</v>
      </c>
      <c r="H22" s="42">
        <f t="shared" si="1"/>
        <v>47158.5</v>
      </c>
      <c r="I22" s="73">
        <f>220+391.4+99/99*1574.3</f>
        <v>2185.7</v>
      </c>
      <c r="J22" s="42">
        <f t="shared" si="2"/>
        <v>49344.2</v>
      </c>
      <c r="K22" s="68">
        <f>391.4</f>
        <v>391.4</v>
      </c>
      <c r="L22" s="68">
        <f>(50+(-454+(-2658/2-100)*0-975)-(((-1267-182+551-2658/2+100)*0+771)-1267-182+125+71+119+1708+36+52+139+213)+3164)+(952-546)</f>
        <v>406</v>
      </c>
      <c r="M22" s="13">
        <f t="shared" si="3"/>
        <v>50141.6</v>
      </c>
      <c r="N22" s="52">
        <v>1050</v>
      </c>
      <c r="O22" s="14">
        <f>81/81*(338.1+300)+98216/98216*348.3+81/81*70</f>
        <v>1056.4</v>
      </c>
      <c r="P22" s="14"/>
      <c r="Q22" s="42">
        <f t="shared" si="4"/>
        <v>2106.4</v>
      </c>
      <c r="R22" s="43">
        <f>1154+226.8-1173+348.3+4/4*16</f>
        <v>572.0999999999999</v>
      </c>
      <c r="S22" s="14"/>
      <c r="T22" s="42">
        <f t="shared" si="5"/>
        <v>2678.5</v>
      </c>
      <c r="U22" s="59">
        <f>220+391.4</f>
        <v>611.4</v>
      </c>
      <c r="V22" s="42">
        <f t="shared" si="6"/>
        <v>3289.9</v>
      </c>
      <c r="W22" s="67"/>
      <c r="X22" s="67">
        <f>961+160</f>
        <v>1121</v>
      </c>
      <c r="Y22" s="89">
        <f t="shared" si="7"/>
        <v>4410.9</v>
      </c>
      <c r="Z22" s="90"/>
      <c r="AA22" s="90"/>
      <c r="AB22" s="19"/>
    </row>
    <row r="23" spans="1:28" s="17" customFormat="1" ht="13.5" thickBot="1">
      <c r="A23" s="20" t="s">
        <v>13</v>
      </c>
      <c r="B23" s="48">
        <f>840*0</f>
        <v>0</v>
      </c>
      <c r="C23" s="21"/>
      <c r="D23" s="21"/>
      <c r="E23" s="42">
        <f t="shared" si="0"/>
        <v>0</v>
      </c>
      <c r="F23" s="21"/>
      <c r="G23" s="21"/>
      <c r="H23" s="42">
        <f t="shared" si="1"/>
        <v>0</v>
      </c>
      <c r="I23" s="74">
        <f>99/99*60</f>
        <v>60</v>
      </c>
      <c r="J23" s="42">
        <f t="shared" si="2"/>
        <v>60</v>
      </c>
      <c r="K23" s="84"/>
      <c r="L23" s="84"/>
      <c r="M23" s="13">
        <f t="shared" si="3"/>
        <v>60</v>
      </c>
      <c r="N23" s="53">
        <f>2700+3000+4600+10957+33528+40000</f>
        <v>94785</v>
      </c>
      <c r="O23" s="21"/>
      <c r="P23" s="21">
        <f>16/16*50+150</f>
        <v>200</v>
      </c>
      <c r="Q23" s="42">
        <f t="shared" si="4"/>
        <v>94985</v>
      </c>
      <c r="R23" s="21"/>
      <c r="S23" s="45">
        <f>3121/3121*250+2321/2321*220</f>
        <v>470</v>
      </c>
      <c r="T23" s="42">
        <f t="shared" si="5"/>
        <v>95455</v>
      </c>
      <c r="U23" s="60">
        <f>99/99*2198.3</f>
        <v>2198.3</v>
      </c>
      <c r="V23" s="42">
        <f t="shared" si="6"/>
        <v>97653.3</v>
      </c>
      <c r="W23" s="69">
        <f>-1825.4+406.3+1378.1+42009/42009*-1173*0</f>
        <v>-41.00000000000023</v>
      </c>
      <c r="X23" s="69">
        <f>-846+18124-160+42009/42009*-1173</f>
        <v>15945</v>
      </c>
      <c r="Y23" s="89">
        <f t="shared" si="7"/>
        <v>113557.3</v>
      </c>
      <c r="Z23" s="32"/>
      <c r="AA23" s="90"/>
      <c r="AB23" s="19"/>
    </row>
    <row r="24" spans="1:27" s="10" customFormat="1" ht="13.5" thickBot="1">
      <c r="A24" s="22" t="s">
        <v>14</v>
      </c>
      <c r="B24" s="49">
        <f aca="true" t="shared" si="8" ref="B24:Y24">SUM(B14:B23)</f>
        <v>97585</v>
      </c>
      <c r="C24" s="23">
        <f t="shared" si="8"/>
        <v>24220.7</v>
      </c>
      <c r="D24" s="23">
        <f t="shared" si="8"/>
        <v>200</v>
      </c>
      <c r="E24" s="23">
        <f t="shared" si="8"/>
        <v>122005.70000000001</v>
      </c>
      <c r="F24" s="23">
        <f>SUM(F14:F23)</f>
        <v>20572.1</v>
      </c>
      <c r="G24" s="23">
        <f>SUM(G14:G23)</f>
        <v>470</v>
      </c>
      <c r="H24" s="23">
        <f>SUM(H14:H23)</f>
        <v>143047.8</v>
      </c>
      <c r="I24" s="61">
        <f>SUM(I14:I23)</f>
        <v>2890.7</v>
      </c>
      <c r="J24" s="24">
        <f t="shared" si="8"/>
        <v>145938.5</v>
      </c>
      <c r="K24" s="85">
        <f t="shared" si="8"/>
        <v>7665.599999999999</v>
      </c>
      <c r="L24" s="85">
        <f t="shared" si="8"/>
        <v>17066</v>
      </c>
      <c r="M24" s="25">
        <f t="shared" si="8"/>
        <v>170670.1</v>
      </c>
      <c r="N24" s="54">
        <f t="shared" si="8"/>
        <v>97585</v>
      </c>
      <c r="O24" s="23">
        <f t="shared" si="8"/>
        <v>24220.7</v>
      </c>
      <c r="P24" s="23">
        <f t="shared" si="8"/>
        <v>200</v>
      </c>
      <c r="Q24" s="23">
        <f t="shared" si="8"/>
        <v>122005.7</v>
      </c>
      <c r="R24" s="23">
        <f>SUM(R14:R23)</f>
        <v>20572.1</v>
      </c>
      <c r="S24" s="23">
        <f>SUM(S14:S23)</f>
        <v>470</v>
      </c>
      <c r="T24" s="23">
        <f>SUM(T14:T23)</f>
        <v>143047.8</v>
      </c>
      <c r="U24" s="61">
        <f>SUM(U14:U23)</f>
        <v>2890.7000000000003</v>
      </c>
      <c r="V24" s="24">
        <f t="shared" si="8"/>
        <v>145938.5</v>
      </c>
      <c r="W24" s="70">
        <f t="shared" si="8"/>
        <v>7624.599999999999</v>
      </c>
      <c r="X24" s="70">
        <f t="shared" si="8"/>
        <v>17066</v>
      </c>
      <c r="Y24" s="25">
        <f t="shared" si="8"/>
        <v>170629.1</v>
      </c>
      <c r="Z24" s="90"/>
      <c r="AA24" s="90"/>
    </row>
    <row r="25" spans="1:27" s="32" customFormat="1" ht="13.5" thickBot="1">
      <c r="A25" s="26" t="s">
        <v>15</v>
      </c>
      <c r="B25" s="50"/>
      <c r="C25" s="27"/>
      <c r="D25" s="27"/>
      <c r="E25" s="27"/>
      <c r="F25" s="27"/>
      <c r="G25" s="27"/>
      <c r="H25" s="27"/>
      <c r="I25" s="27"/>
      <c r="J25" s="27"/>
      <c r="K25" s="86"/>
      <c r="L25" s="86"/>
      <c r="M25" s="28"/>
      <c r="N25" s="29">
        <f>N24-B24</f>
        <v>0</v>
      </c>
      <c r="O25" s="30">
        <f>O24-C24</f>
        <v>0</v>
      </c>
      <c r="P25" s="30">
        <f>P24-D24</f>
        <v>0</v>
      </c>
      <c r="Q25" s="30">
        <f>Q24-E24</f>
        <v>0</v>
      </c>
      <c r="R25" s="30"/>
      <c r="S25" s="30"/>
      <c r="T25" s="30">
        <f aca="true" t="shared" si="9" ref="T25:Y25">T24-H24</f>
        <v>0</v>
      </c>
      <c r="U25" s="62">
        <f t="shared" si="9"/>
        <v>0</v>
      </c>
      <c r="V25" s="30">
        <f t="shared" si="9"/>
        <v>0</v>
      </c>
      <c r="W25" s="30">
        <f t="shared" si="9"/>
        <v>-41</v>
      </c>
      <c r="X25" s="30">
        <f t="shared" si="9"/>
        <v>0</v>
      </c>
      <c r="Y25" s="31">
        <f t="shared" si="9"/>
        <v>-41</v>
      </c>
      <c r="AA25" s="90"/>
    </row>
    <row r="26" ht="12.75">
      <c r="F26" s="44"/>
    </row>
    <row r="27" spans="1:14" ht="12.75">
      <c r="A27" s="33" t="s">
        <v>1</v>
      </c>
      <c r="B27" s="34"/>
      <c r="D27" s="35"/>
      <c r="E27" s="35"/>
      <c r="F27" s="35"/>
      <c r="G27"/>
      <c r="H27"/>
      <c r="I27"/>
      <c r="J27"/>
      <c r="K27" s="88"/>
      <c r="L27" s="88"/>
      <c r="M27"/>
      <c r="N27" s="36" t="s">
        <v>17</v>
      </c>
    </row>
    <row r="28" spans="1:23" s="5" customFormat="1" ht="12.75">
      <c r="A28" s="94" t="s">
        <v>27</v>
      </c>
      <c r="B28" s="37"/>
      <c r="C28" s="39"/>
      <c r="D28" s="39"/>
      <c r="E28" s="39"/>
      <c r="F28" s="39"/>
      <c r="G28"/>
      <c r="H28"/>
      <c r="I28"/>
      <c r="J28"/>
      <c r="K28" s="88"/>
      <c r="L28" s="88"/>
      <c r="M28"/>
      <c r="V28" s="37"/>
      <c r="W28" s="37"/>
    </row>
    <row r="29" spans="1:13" ht="12.75">
      <c r="A29" s="38" t="s">
        <v>18</v>
      </c>
      <c r="G29"/>
      <c r="H29"/>
      <c r="I29"/>
      <c r="J29"/>
      <c r="K29" s="88"/>
      <c r="L29" s="88"/>
      <c r="M29"/>
    </row>
    <row r="30" spans="7:13" ht="12.75">
      <c r="G30"/>
      <c r="H30"/>
      <c r="I30"/>
      <c r="J30"/>
      <c r="K30" s="88"/>
      <c r="L30" s="88"/>
      <c r="M30"/>
    </row>
    <row r="31" spans="7:13" ht="12.75">
      <c r="G31"/>
      <c r="H31"/>
      <c r="I31"/>
      <c r="J31"/>
      <c r="K31" s="88"/>
      <c r="L31" s="88"/>
      <c r="M31"/>
    </row>
    <row r="32" spans="1:13" ht="12.75">
      <c r="A32" s="103" t="s">
        <v>31</v>
      </c>
      <c r="G32"/>
      <c r="H32"/>
      <c r="I32"/>
      <c r="J32"/>
      <c r="K32" s="88"/>
      <c r="L32" s="88"/>
      <c r="M32"/>
    </row>
  </sheetData>
  <sheetProtection password="CC4F" sheet="1" objects="1" scenarios="1"/>
  <mergeCells count="4">
    <mergeCell ref="B11:M11"/>
    <mergeCell ref="N11:Y11"/>
    <mergeCell ref="B12:M12"/>
    <mergeCell ref="N12:Y12"/>
  </mergeCells>
  <printOptions/>
  <pageMargins left="0.3937007874015748" right="0" top="0.3937007874015748" bottom="0.5905511811023623" header="0.11811023622047245" footer="0.11811023622047245"/>
  <pageSetup horizontalDpi="360" verticalDpi="360" orientation="landscape" paperSize="9" scale="90" r:id="rId1"/>
  <headerFooter alignWithMargins="0">
    <oddHeader xml:space="preserve">&amp;CUR 2009 příl 2/&amp;RZMČ 16 12 2009 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tislovamar</cp:lastModifiedBy>
  <cp:lastPrinted>2010-01-22T13:18:28Z</cp:lastPrinted>
  <dcterms:created xsi:type="dcterms:W3CDTF">2006-12-09T13:04:18Z</dcterms:created>
  <dcterms:modified xsi:type="dcterms:W3CDTF">2010-01-22T13:21:32Z</dcterms:modified>
  <cp:category/>
  <cp:version/>
  <cp:contentType/>
  <cp:contentStatus/>
</cp:coreProperties>
</file>